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úklid_kohoutek\"/>
    </mc:Choice>
  </mc:AlternateContent>
  <bookViews>
    <workbookView xWindow="-15" yWindow="-15" windowWidth="10320" windowHeight="8115" activeTab="3"/>
  </bookViews>
  <sheets>
    <sheet name="15Příloha_1_Rekapitulace" sheetId="12" r:id="rId1"/>
    <sheet name="8Příloha_2_ceník_pravid_úklid" sheetId="2" r:id="rId2"/>
    <sheet name="9Příloha3_ceník_mimořádný_úklid" sheetId="23" r:id="rId3"/>
    <sheet name="Příloha5_1_ŘEDITELSTVÍ_VRÁTNICE" sheetId="17" r:id="rId4"/>
    <sheet name="Příloha5_2_KOŽNÍ" sheetId="15" r:id="rId5"/>
    <sheet name="Příloha5_3_SPRÁVNÍ BUDOVA" sheetId="16" r:id="rId6"/>
    <sheet name="Příloha5_4_IDG" sheetId="18" r:id="rId7"/>
    <sheet name="Příloha5_5_INTERNA" sheetId="19" r:id="rId8"/>
    <sheet name="Příloha5_6_MONOBLOK" sheetId="20" r:id="rId9"/>
    <sheet name="Příloha5_7_PEDIATRIE" sheetId="21" r:id="rId10"/>
    <sheet name="Příloha5_8_NEUROLOGIE" sheetId="22" r:id="rId11"/>
    <sheet name="Příloha5_9_Lékárna" sheetId="14" r:id="rId12"/>
    <sheet name="Seznam HS - nemaš" sheetId="13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xlnm._FilterDatabase" localSheetId="1" hidden="1">'8Příloha_2_ceník_pravid_úklid'!#REF!</definedName>
    <definedName name="_xlnm._FilterDatabase" localSheetId="3" hidden="1">Příloha5_1_ŘEDITELSTVÍ_VRÁTNICE!$A$5:$X$52</definedName>
    <definedName name="_xlnm._FilterDatabase" localSheetId="4" hidden="1">Příloha5_2_KOŽNÍ!$A$5:$X$5</definedName>
    <definedName name="_xlnm._FilterDatabase" localSheetId="5" hidden="1">'Příloha5_3_SPRÁVNÍ BUDOVA'!$A$5:$X$23</definedName>
    <definedName name="_xlnm._FilterDatabase" localSheetId="6" hidden="1">Příloha5_4_IDG!$A$5:$X$69</definedName>
    <definedName name="_xlnm._FilterDatabase" localSheetId="7" hidden="1">Příloha5_5_INTERNA!$A$5:$X$175</definedName>
    <definedName name="_xlnm._FilterDatabase" localSheetId="8" hidden="1">Příloha5_6_MONOBLOK!$A$5:$X$684</definedName>
    <definedName name="_xlnm._FilterDatabase" localSheetId="9" hidden="1">Příloha5_7_PEDIATRIE!$A$5:$X$117</definedName>
    <definedName name="_xlnm._FilterDatabase" localSheetId="10" hidden="1">Příloha5_8_NEUROLOGIE!$A$5:$X$119</definedName>
    <definedName name="_xlnm._FilterDatabase" localSheetId="11" hidden="1">Příloha5_9_Lékárna!$A$5:$X$5</definedName>
    <definedName name="AllUnits" localSheetId="3">#REF!</definedName>
    <definedName name="AllUnits" localSheetId="5">#REF!</definedName>
    <definedName name="AllUnits" localSheetId="6">#REF!</definedName>
    <definedName name="AllUnits" localSheetId="7">#REF!</definedName>
    <definedName name="AllUnits" localSheetId="8">#REF!</definedName>
    <definedName name="AllUnits" localSheetId="9">#REF!</definedName>
    <definedName name="AllUnits" localSheetId="10">#REF!</definedName>
    <definedName name="AllUnits" localSheetId="11">#REF!</definedName>
    <definedName name="AllUnits">#REF!</definedName>
    <definedName name="altnr" localSheetId="1">#REF!</definedName>
    <definedName name="altnr" localSheetId="3">#REF!</definedName>
    <definedName name="altnr" localSheetId="5">#REF!</definedName>
    <definedName name="altnr" localSheetId="6">#REF!</definedName>
    <definedName name="altnr" localSheetId="7">#REF!</definedName>
    <definedName name="altnr" localSheetId="8">#REF!</definedName>
    <definedName name="altnr" localSheetId="9">#REF!</definedName>
    <definedName name="altnr" localSheetId="10">#REF!</definedName>
    <definedName name="altnr" localSheetId="11">#REF!</definedName>
    <definedName name="altnr">#REF!</definedName>
    <definedName name="alttab" localSheetId="1">#REF!</definedName>
    <definedName name="alttab" localSheetId="3">#REF!</definedName>
    <definedName name="alttab" localSheetId="5">#REF!</definedName>
    <definedName name="alttab" localSheetId="6">#REF!</definedName>
    <definedName name="alttab" localSheetId="7">#REF!</definedName>
    <definedName name="alttab" localSheetId="8">#REF!</definedName>
    <definedName name="alttab" localSheetId="9">#REF!</definedName>
    <definedName name="alttab" localSheetId="10">#REF!</definedName>
    <definedName name="alttab" localSheetId="11">#REF!</definedName>
    <definedName name="alttab">#REF!</definedName>
    <definedName name="Anpassung" localSheetId="1">#REF!</definedName>
    <definedName name="Anpassung" localSheetId="3">#REF!</definedName>
    <definedName name="Anpassung" localSheetId="5">#REF!</definedName>
    <definedName name="Anpassung" localSheetId="6">#REF!</definedName>
    <definedName name="Anpassung" localSheetId="7">#REF!</definedName>
    <definedName name="Anpassung" localSheetId="8">#REF!</definedName>
    <definedName name="Anpassung" localSheetId="9">#REF!</definedName>
    <definedName name="Anpassung" localSheetId="10">#REF!</definedName>
    <definedName name="Anpassung" localSheetId="11">#REF!</definedName>
    <definedName name="Anpassung">#REF!</definedName>
    <definedName name="Appl" localSheetId="3">#REF!</definedName>
    <definedName name="Appl" localSheetId="5">#REF!</definedName>
    <definedName name="Appl" localSheetId="6">#REF!</definedName>
    <definedName name="Appl" localSheetId="7">#REF!</definedName>
    <definedName name="Appl" localSheetId="8">#REF!</definedName>
    <definedName name="Appl" localSheetId="9">#REF!</definedName>
    <definedName name="Appl" localSheetId="10">#REF!</definedName>
    <definedName name="Appl" localSheetId="11">#REF!</definedName>
    <definedName name="Appl">#REF!</definedName>
    <definedName name="Bestell" localSheetId="1">#REF!</definedName>
    <definedName name="Bestell" localSheetId="3">#REF!</definedName>
    <definedName name="Bestell" localSheetId="5">#REF!</definedName>
    <definedName name="Bestell" localSheetId="6">#REF!</definedName>
    <definedName name="Bestell" localSheetId="7">#REF!</definedName>
    <definedName name="Bestell" localSheetId="8">#REF!</definedName>
    <definedName name="Bestell" localSheetId="9">#REF!</definedName>
    <definedName name="Bestell" localSheetId="10">#REF!</definedName>
    <definedName name="Bestell" localSheetId="11">#REF!</definedName>
    <definedName name="Bestell">#REF!</definedName>
    <definedName name="bod" localSheetId="1">#REF!</definedName>
    <definedName name="bod" localSheetId="3">#REF!</definedName>
    <definedName name="bod" localSheetId="5">#REF!</definedName>
    <definedName name="bod" localSheetId="6">#REF!</definedName>
    <definedName name="bod" localSheetId="7">#REF!</definedName>
    <definedName name="bod" localSheetId="8">#REF!</definedName>
    <definedName name="bod" localSheetId="9">#REF!</definedName>
    <definedName name="bod" localSheetId="10">#REF!</definedName>
    <definedName name="bod" localSheetId="11">#REF!</definedName>
    <definedName name="bod">#REF!</definedName>
    <definedName name="bodnr" localSheetId="1">#REF!</definedName>
    <definedName name="bodnr" localSheetId="3">#REF!</definedName>
    <definedName name="bodnr" localSheetId="5">#REF!</definedName>
    <definedName name="bodnr" localSheetId="6">#REF!</definedName>
    <definedName name="bodnr" localSheetId="7">#REF!</definedName>
    <definedName name="bodnr" localSheetId="8">#REF!</definedName>
    <definedName name="bodnr" localSheetId="9">#REF!</definedName>
    <definedName name="bodnr" localSheetId="10">#REF!</definedName>
    <definedName name="bodnr" localSheetId="11">#REF!</definedName>
    <definedName name="bodnr">#REF!</definedName>
    <definedName name="bodtab" localSheetId="1">#REF!</definedName>
    <definedName name="bodtab" localSheetId="3">#REF!</definedName>
    <definedName name="bodtab" localSheetId="5">#REF!</definedName>
    <definedName name="bodtab" localSheetId="6">#REF!</definedName>
    <definedName name="bodtab" localSheetId="7">#REF!</definedName>
    <definedName name="bodtab" localSheetId="8">#REF!</definedName>
    <definedName name="bodtab" localSheetId="9">#REF!</definedName>
    <definedName name="bodtab" localSheetId="10">#REF!</definedName>
    <definedName name="bodtab" localSheetId="11">#REF!</definedName>
    <definedName name="bodtab">#REF!</definedName>
    <definedName name="bürobereich" localSheetId="1">#REF!</definedName>
    <definedName name="bürobereich" localSheetId="3">#REF!</definedName>
    <definedName name="bürobereich" localSheetId="5">#REF!</definedName>
    <definedName name="bürobereich" localSheetId="6">#REF!</definedName>
    <definedName name="bürobereich" localSheetId="7">#REF!</definedName>
    <definedName name="bürobereich" localSheetId="8">#REF!</definedName>
    <definedName name="bürobereich" localSheetId="9">#REF!</definedName>
    <definedName name="bürobereich" localSheetId="10">#REF!</definedName>
    <definedName name="bürobereich" localSheetId="11">#REF!</definedName>
    <definedName name="bürobereich">#REF!</definedName>
    <definedName name="Categories" localSheetId="3">#REF!</definedName>
    <definedName name="Categories" localSheetId="5">#REF!</definedName>
    <definedName name="Categories" localSheetId="6">#REF!</definedName>
    <definedName name="Categories" localSheetId="7">#REF!</definedName>
    <definedName name="Categories" localSheetId="8">#REF!</definedName>
    <definedName name="Categories" localSheetId="9">#REF!</definedName>
    <definedName name="Categories" localSheetId="10">#REF!</definedName>
    <definedName name="Categories" localSheetId="11">#REF!</definedName>
    <definedName name="Categories">#REF!</definedName>
    <definedName name="Category" localSheetId="3">#REF!</definedName>
    <definedName name="Category" localSheetId="5">#REF!</definedName>
    <definedName name="Category" localSheetId="6">#REF!</definedName>
    <definedName name="Category" localSheetId="7">#REF!</definedName>
    <definedName name="Category" localSheetId="8">#REF!</definedName>
    <definedName name="Category" localSheetId="9">#REF!</definedName>
    <definedName name="Category" localSheetId="10">#REF!</definedName>
    <definedName name="Category" localSheetId="11">#REF!</definedName>
    <definedName name="Category">#REF!</definedName>
    <definedName name="Currency" localSheetId="3">#REF!</definedName>
    <definedName name="Currency" localSheetId="5">#REF!</definedName>
    <definedName name="Currency" localSheetId="6">#REF!</definedName>
    <definedName name="Currency" localSheetId="7">#REF!</definedName>
    <definedName name="Currency" localSheetId="8">#REF!</definedName>
    <definedName name="Currency" localSheetId="9">#REF!</definedName>
    <definedName name="Currency" localSheetId="10">#REF!</definedName>
    <definedName name="Currency" localSheetId="11">#REF!</definedName>
    <definedName name="Currency">#REF!</definedName>
    <definedName name="Částbudovy_provozu" localSheetId="3">Příloha5_1_ŘEDITELSTVÍ_VRÁTNICE!$A$6:$A$52</definedName>
    <definedName name="Částbudovy_provozu">#REF!</definedName>
    <definedName name="Dates" localSheetId="3">#REF!</definedName>
    <definedName name="Dates" localSheetId="5">#REF!</definedName>
    <definedName name="Dates" localSheetId="6">#REF!</definedName>
    <definedName name="Dates" localSheetId="7">#REF!</definedName>
    <definedName name="Dates" localSheetId="8">#REF!</definedName>
    <definedName name="Dates" localSheetId="9">#REF!</definedName>
    <definedName name="Dates" localSheetId="10">#REF!</definedName>
    <definedName name="Dates" localSheetId="11">#REF!</definedName>
    <definedName name="Dates">#REF!</definedName>
    <definedName name="DruckPreis" localSheetId="1">[1]Makro1!#REF!</definedName>
    <definedName name="DruckZeit" localSheetId="1">[1]Makro1!#REF!</definedName>
    <definedName name="Entity" localSheetId="3">#REF!</definedName>
    <definedName name="Entity" localSheetId="5">#REF!</definedName>
    <definedName name="Entity" localSheetId="6">#REF!</definedName>
    <definedName name="Entity" localSheetId="7">#REF!</definedName>
    <definedName name="Entity" localSheetId="8">#REF!</definedName>
    <definedName name="Entity" localSheetId="9">#REF!</definedName>
    <definedName name="Entity" localSheetId="10">#REF!</definedName>
    <definedName name="Entity" localSheetId="11">#REF!</definedName>
    <definedName name="Entity">#REF!</definedName>
    <definedName name="Frequency" localSheetId="3">#REF!</definedName>
    <definedName name="Frequency" localSheetId="5">#REF!</definedName>
    <definedName name="Frequency" localSheetId="6">#REF!</definedName>
    <definedName name="Frequency" localSheetId="7">#REF!</definedName>
    <definedName name="Frequency" localSheetId="8">#REF!</definedName>
    <definedName name="Frequency" localSheetId="9">#REF!</definedName>
    <definedName name="Frequency" localSheetId="10">#REF!</definedName>
    <definedName name="Frequency" localSheetId="11">#REF!</definedName>
    <definedName name="Frequency">#REF!</definedName>
    <definedName name="ghb" localSheetId="1">#REF!</definedName>
    <definedName name="ghb" localSheetId="3">#REF!</definedName>
    <definedName name="ghb" localSheetId="5">#REF!</definedName>
    <definedName name="ghb" localSheetId="6">#REF!</definedName>
    <definedName name="ghb" localSheetId="7">#REF!</definedName>
    <definedName name="ghb" localSheetId="8">#REF!</definedName>
    <definedName name="ghb" localSheetId="9">#REF!</definedName>
    <definedName name="ghb" localSheetId="10">#REF!</definedName>
    <definedName name="ghb" localSheetId="11">#REF!</definedName>
    <definedName name="ghb">#REF!</definedName>
    <definedName name="HS" localSheetId="3">'[2]Seznam HS - nemaš'!$A$1:$A$92</definedName>
    <definedName name="HS" localSheetId="5">'[2]Seznam HS - nemaš'!$A$1:$A$92</definedName>
    <definedName name="HS" localSheetId="6">'[2]Seznam HS - nemaš'!$A$1:$A$92</definedName>
    <definedName name="HS" localSheetId="7">'[2]Seznam HS - nemaš'!$A$1:$A$92</definedName>
    <definedName name="HS" localSheetId="8">'[2]Seznam HS - nemaš'!$A$1:$A$92</definedName>
    <definedName name="HS" localSheetId="9">'[2]Seznam HS - nemaš'!$A$1:$A$92</definedName>
    <definedName name="HS" localSheetId="10">'[2]Seznam HS - nemaš'!$A$1:$A$92</definedName>
    <definedName name="HS">'Seznam HS - nemaš'!$A$1:$A$96</definedName>
    <definedName name="HS0">'Seznam HS - nemaš'!$A$1:$A$96</definedName>
    <definedName name="HyperionVer" localSheetId="3">#REF!</definedName>
    <definedName name="HyperionVer" localSheetId="5">#REF!</definedName>
    <definedName name="HyperionVer" localSheetId="6">#REF!</definedName>
    <definedName name="HyperionVer" localSheetId="7">#REF!</definedName>
    <definedName name="HyperionVer" localSheetId="8">#REF!</definedName>
    <definedName name="HyperionVer" localSheetId="9">#REF!</definedName>
    <definedName name="HyperionVer" localSheetId="10">#REF!</definedName>
    <definedName name="HyperionVer" localSheetId="11">#REF!</definedName>
    <definedName name="HyperionVer">#REF!</definedName>
    <definedName name="jip" localSheetId="1">[1]Databáze!$A$6:$D$119</definedName>
    <definedName name="jip" localSheetId="3">#REF!</definedName>
    <definedName name="jip" localSheetId="5">#REF!</definedName>
    <definedName name="jip" localSheetId="6">#REF!</definedName>
    <definedName name="jip" localSheetId="7">#REF!</definedName>
    <definedName name="jip" localSheetId="8">#REF!</definedName>
    <definedName name="jip" localSheetId="9">#REF!</definedName>
    <definedName name="jip" localSheetId="10">#REF!</definedName>
    <definedName name="jip" localSheetId="11">#REF!</definedName>
    <definedName name="jip">#REF!</definedName>
    <definedName name="kr" localSheetId="3">#REF!</definedName>
    <definedName name="kr" localSheetId="5">#REF!</definedName>
    <definedName name="kr" localSheetId="6">#REF!</definedName>
    <definedName name="kr" localSheetId="7">#REF!</definedName>
    <definedName name="kr" localSheetId="8">#REF!</definedName>
    <definedName name="kr" localSheetId="9">#REF!</definedName>
    <definedName name="kr" localSheetId="10">#REF!</definedName>
    <definedName name="kr" localSheetId="11">#REF!</definedName>
    <definedName name="kr">#REF!</definedName>
    <definedName name="kurzz" localSheetId="1">#REF!</definedName>
    <definedName name="kurzz" localSheetId="3">#REF!</definedName>
    <definedName name="kurzz" localSheetId="5">#REF!</definedName>
    <definedName name="kurzz" localSheetId="6">#REF!</definedName>
    <definedName name="kurzz" localSheetId="7">#REF!</definedName>
    <definedName name="kurzz" localSheetId="8">#REF!</definedName>
    <definedName name="kurzz" localSheetId="9">#REF!</definedName>
    <definedName name="kurzz" localSheetId="10">#REF!</definedName>
    <definedName name="kurzz" localSheetId="11">#REF!</definedName>
    <definedName name="kurzz">#REF!</definedName>
    <definedName name="_xlnm.Recorder" localSheetId="1">#REF!</definedName>
    <definedName name="_xlnm.Recorder" localSheetId="3">#REF!</definedName>
    <definedName name="_xlnm.Recorder" localSheetId="5">#REF!</definedName>
    <definedName name="_xlnm.Recorder" localSheetId="6">#REF!</definedName>
    <definedName name="_xlnm.Recorder" localSheetId="7">#REF!</definedName>
    <definedName name="_xlnm.Recorder" localSheetId="8">#REF!</definedName>
    <definedName name="_xlnm.Recorder" localSheetId="9">#REF!</definedName>
    <definedName name="_xlnm.Recorder" localSheetId="10">#REF!</definedName>
    <definedName name="_xlnm.Recorder" localSheetId="11">#REF!</definedName>
    <definedName name="_xlnm.Recorder">#REF!</definedName>
    <definedName name="month" localSheetId="3">#REF!</definedName>
    <definedName name="month" localSheetId="5">#REF!</definedName>
    <definedName name="month" localSheetId="6">#REF!</definedName>
    <definedName name="month" localSheetId="7">#REF!</definedName>
    <definedName name="month" localSheetId="8">#REF!</definedName>
    <definedName name="month" localSheetId="9">#REF!</definedName>
    <definedName name="month" localSheetId="10">#REF!</definedName>
    <definedName name="month" localSheetId="11">#REF!</definedName>
    <definedName name="month">#REF!</definedName>
    <definedName name="Name" localSheetId="3">#REF!</definedName>
    <definedName name="Name" localSheetId="5">#REF!</definedName>
    <definedName name="Name" localSheetId="6">#REF!</definedName>
    <definedName name="Name" localSheetId="7">#REF!</definedName>
    <definedName name="Name" localSheetId="8">#REF!</definedName>
    <definedName name="Name" localSheetId="9">#REF!</definedName>
    <definedName name="Name" localSheetId="10">#REF!</definedName>
    <definedName name="Name" localSheetId="11">#REF!</definedName>
    <definedName name="Name">#REF!</definedName>
    <definedName name="_xlnm.Print_Titles" localSheetId="7">Příloha5_5_INTERNA!$1:$5</definedName>
    <definedName name="nonQuarter" localSheetId="3">#REF!</definedName>
    <definedName name="nonQuarter" localSheetId="5">#REF!</definedName>
    <definedName name="nonQuarter" localSheetId="6">#REF!</definedName>
    <definedName name="nonQuarter" localSheetId="7">#REF!</definedName>
    <definedName name="nonQuarter" localSheetId="8">#REF!</definedName>
    <definedName name="nonQuarter" localSheetId="9">#REF!</definedName>
    <definedName name="nonQuarter" localSheetId="10">#REF!</definedName>
    <definedName name="nonQuarter" localSheetId="11">#REF!</definedName>
    <definedName name="nonQuarter">#REF!</definedName>
    <definedName name="Objekte" localSheetId="1">[1]FurnitureList!$A$2:$A$234</definedName>
    <definedName name="Objekte" localSheetId="3">#REF!</definedName>
    <definedName name="Objekte" localSheetId="5">#REF!</definedName>
    <definedName name="Objekte" localSheetId="6">#REF!</definedName>
    <definedName name="Objekte" localSheetId="7">#REF!</definedName>
    <definedName name="Objekte" localSheetId="8">#REF!</definedName>
    <definedName name="Objekte" localSheetId="9">#REF!</definedName>
    <definedName name="Objekte" localSheetId="10">#REF!</definedName>
    <definedName name="Objekte" localSheetId="11">#REF!</definedName>
    <definedName name="Objekte">#REF!</definedName>
    <definedName name="_xlnm.Print_Area" localSheetId="7">Příloha5_5_INTERNA!$A$1:$X$190</definedName>
    <definedName name="ondra" localSheetId="1">#REF!</definedName>
    <definedName name="ondra" localSheetId="3">#REF!</definedName>
    <definedName name="ondra" localSheetId="5">#REF!</definedName>
    <definedName name="ondra" localSheetId="6">#REF!</definedName>
    <definedName name="ondra" localSheetId="7">#REF!</definedName>
    <definedName name="ondra" localSheetId="8">#REF!</definedName>
    <definedName name="ondra" localSheetId="9">#REF!</definedName>
    <definedName name="ondra" localSheetId="10">#REF!</definedName>
    <definedName name="ondra" localSheetId="11">#REF!</definedName>
    <definedName name="ondra">#REF!</definedName>
    <definedName name="Period" localSheetId="3">#REF!</definedName>
    <definedName name="Period" localSheetId="5">#REF!</definedName>
    <definedName name="Period" localSheetId="6">#REF!</definedName>
    <definedName name="Period" localSheetId="7">#REF!</definedName>
    <definedName name="Period" localSheetId="8">#REF!</definedName>
    <definedName name="Period" localSheetId="9">#REF!</definedName>
    <definedName name="Period" localSheetId="10">#REF!</definedName>
    <definedName name="Period" localSheetId="11">#REF!</definedName>
    <definedName name="Period">#REF!</definedName>
    <definedName name="prostor">[3]Čas!$AJ$15:$AK$190</definedName>
    <definedName name="revír">[4]Čas!$AI$17:$AL$122</definedName>
    <definedName name="Rgtage" localSheetId="1">#REF!</definedName>
    <definedName name="Rgtage" localSheetId="3">#REF!</definedName>
    <definedName name="Rgtage" localSheetId="5">#REF!</definedName>
    <definedName name="Rgtage" localSheetId="6">#REF!</definedName>
    <definedName name="Rgtage" localSheetId="7">#REF!</definedName>
    <definedName name="Rgtage" localSheetId="8">#REF!</definedName>
    <definedName name="Rgtage" localSheetId="9">#REF!</definedName>
    <definedName name="Rgtage" localSheetId="10">#REF!</definedName>
    <definedName name="Rgtage" localSheetId="11">#REF!</definedName>
    <definedName name="Rgtage">#REF!</definedName>
    <definedName name="s" localSheetId="1">[5]Databáze!$A$6:$E$70</definedName>
    <definedName name="s">[6]Databáze!$A$6:$E$70</definedName>
    <definedName name="schmnr" localSheetId="1">#REF!</definedName>
    <definedName name="schmnr" localSheetId="3">#REF!</definedName>
    <definedName name="schmnr" localSheetId="5">#REF!</definedName>
    <definedName name="schmnr" localSheetId="6">#REF!</definedName>
    <definedName name="schmnr" localSheetId="7">#REF!</definedName>
    <definedName name="schmnr" localSheetId="8">#REF!</definedName>
    <definedName name="schmnr" localSheetId="9">#REF!</definedName>
    <definedName name="schmnr" localSheetId="10">#REF!</definedName>
    <definedName name="schmnr" localSheetId="11">#REF!</definedName>
    <definedName name="schmnr">#REF!</definedName>
    <definedName name="schmtab" localSheetId="1">#REF!</definedName>
    <definedName name="schmtab" localSheetId="3">#REF!</definedName>
    <definedName name="schmtab" localSheetId="5">#REF!</definedName>
    <definedName name="schmtab" localSheetId="6">#REF!</definedName>
    <definedName name="schmtab" localSheetId="7">#REF!</definedName>
    <definedName name="schmtab" localSheetId="8">#REF!</definedName>
    <definedName name="schmtab" localSheetId="9">#REF!</definedName>
    <definedName name="schmtab" localSheetId="10">#REF!</definedName>
    <definedName name="schmtab" localSheetId="11">#REF!</definedName>
    <definedName name="schmtab">#REF!</definedName>
    <definedName name="srovnani" localSheetId="1">[1]Databáze!$A$6:$D$51</definedName>
    <definedName name="srovnani" localSheetId="3">#REF!</definedName>
    <definedName name="srovnani" localSheetId="5">#REF!</definedName>
    <definedName name="srovnani" localSheetId="6">#REF!</definedName>
    <definedName name="srovnani" localSheetId="7">#REF!</definedName>
    <definedName name="srovnani" localSheetId="8">#REF!</definedName>
    <definedName name="srovnani" localSheetId="9">#REF!</definedName>
    <definedName name="srovnani" localSheetId="10">#REF!</definedName>
    <definedName name="srovnani" localSheetId="11">#REF!</definedName>
    <definedName name="srovnani">#REF!</definedName>
    <definedName name="Standardwerte">[1]Makro1!$D$1</definedName>
    <definedName name="Sumář">[7]Databáze!$A$6:$E$70</definedName>
    <definedName name="SZBod" localSheetId="1">#REF!</definedName>
    <definedName name="SZBod" localSheetId="3">#REF!</definedName>
    <definedName name="SZBod" localSheetId="5">#REF!</definedName>
    <definedName name="SZBod" localSheetId="6">#REF!</definedName>
    <definedName name="SZBod" localSheetId="7">#REF!</definedName>
    <definedName name="SZBod" localSheetId="8">#REF!</definedName>
    <definedName name="SZBod" localSheetId="9">#REF!</definedName>
    <definedName name="SZBod" localSheetId="10">#REF!</definedName>
    <definedName name="SZBod" localSheetId="11">#REF!</definedName>
    <definedName name="SZBod">#REF!</definedName>
    <definedName name="sztab" localSheetId="1">#REF!</definedName>
    <definedName name="sztab" localSheetId="3">#REF!</definedName>
    <definedName name="sztab" localSheetId="5">#REF!</definedName>
    <definedName name="sztab" localSheetId="6">#REF!</definedName>
    <definedName name="sztab" localSheetId="7">#REF!</definedName>
    <definedName name="sztab" localSheetId="8">#REF!</definedName>
    <definedName name="sztab" localSheetId="9">#REF!</definedName>
    <definedName name="sztab" localSheetId="10">#REF!</definedName>
    <definedName name="sztab" localSheetId="11">#REF!</definedName>
    <definedName name="sztab">#REF!</definedName>
    <definedName name="tag" localSheetId="1">#REF!</definedName>
    <definedName name="tag" localSheetId="3">#REF!</definedName>
    <definedName name="tag" localSheetId="5">#REF!</definedName>
    <definedName name="tag" localSheetId="6">#REF!</definedName>
    <definedName name="tag" localSheetId="7">#REF!</definedName>
    <definedName name="tag" localSheetId="8">#REF!</definedName>
    <definedName name="tag" localSheetId="9">#REF!</definedName>
    <definedName name="tag" localSheetId="10">#REF!</definedName>
    <definedName name="tag" localSheetId="11">#REF!</definedName>
    <definedName name="tag">#REF!</definedName>
    <definedName name="tage" localSheetId="1">#REF!</definedName>
    <definedName name="tage" localSheetId="3">#REF!</definedName>
    <definedName name="tage" localSheetId="5">#REF!</definedName>
    <definedName name="tage" localSheetId="6">#REF!</definedName>
    <definedName name="tage" localSheetId="7">#REF!</definedName>
    <definedName name="tage" localSheetId="8">#REF!</definedName>
    <definedName name="tage" localSheetId="9">#REF!</definedName>
    <definedName name="tage" localSheetId="10">#REF!</definedName>
    <definedName name="tage" localSheetId="11">#REF!</definedName>
    <definedName name="tage">#REF!</definedName>
    <definedName name="Úklid" localSheetId="1">#REF!</definedName>
    <definedName name="Úklid" localSheetId="3">#REF!</definedName>
    <definedName name="Úklid" localSheetId="5">#REF!</definedName>
    <definedName name="Úklid" localSheetId="6">#REF!</definedName>
    <definedName name="Úklid" localSheetId="7">#REF!</definedName>
    <definedName name="Úklid" localSheetId="8">#REF!</definedName>
    <definedName name="Úklid" localSheetId="9">#REF!</definedName>
    <definedName name="Úklid" localSheetId="10">#REF!</definedName>
    <definedName name="Úklid" localSheetId="11">#REF!</definedName>
    <definedName name="Úklid">#REF!</definedName>
    <definedName name="ZeileEinfügen" localSheetId="1">[1]Makro1!#REF!</definedName>
    <definedName name="Zeitwert">'[1]Datenbasis FE'!$A$4:$F$42</definedName>
    <definedName name="ZielNLK">[1]Makro1!$B$1</definedName>
    <definedName name="ZielöSAnbot">[1]Makro1!$A$1</definedName>
    <definedName name="ZielöSStd">[1]Makro1!$C$1</definedName>
    <definedName name="Zielsuche">[1]Makro1!$A$1</definedName>
    <definedName name="Zielumsatz">[1]Makro1!$A$1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D4" i="23" l="1"/>
  <c r="P8" i="17"/>
  <c r="U27" i="17"/>
  <c r="S27" i="17"/>
  <c r="P27" i="17"/>
  <c r="N27" i="17"/>
  <c r="Y4" i="15"/>
  <c r="E11" i="12" s="1"/>
  <c r="F11" i="12" s="1"/>
  <c r="Y4" i="16"/>
  <c r="E12" i="12" s="1"/>
  <c r="F12" i="12" s="1"/>
  <c r="Y4" i="14"/>
  <c r="E18" i="12" s="1"/>
  <c r="F18" i="12" s="1"/>
  <c r="T27" i="17" l="1"/>
  <c r="V27" i="17" s="1"/>
  <c r="W27" i="17" s="1"/>
  <c r="X27" i="17" s="1"/>
  <c r="L30" i="2" l="1"/>
  <c r="L29" i="2"/>
  <c r="L13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2" i="2"/>
  <c r="J11" i="2"/>
  <c r="J10" i="2"/>
  <c r="J9" i="2"/>
  <c r="P11" i="21" l="1"/>
  <c r="P7" i="21"/>
  <c r="P34" i="20"/>
  <c r="R411" i="20"/>
  <c r="R410" i="20"/>
  <c r="R409" i="20"/>
  <c r="R105" i="20"/>
  <c r="L8" i="23" l="1"/>
  <c r="I10" i="23"/>
  <c r="I11" i="23"/>
  <c r="I9" i="23"/>
  <c r="P310" i="20" l="1"/>
  <c r="P311" i="20"/>
  <c r="P312" i="20"/>
  <c r="P313" i="20"/>
  <c r="P314" i="20"/>
  <c r="P309" i="20"/>
  <c r="P41" i="17"/>
  <c r="N15" i="16" l="1"/>
  <c r="N16" i="16"/>
  <c r="N17" i="16"/>
  <c r="N18" i="16"/>
  <c r="N19" i="16"/>
  <c r="N20" i="16"/>
  <c r="N21" i="16"/>
  <c r="N22" i="16"/>
  <c r="N23" i="16"/>
  <c r="N6" i="16"/>
  <c r="N7" i="16"/>
  <c r="N8" i="16"/>
  <c r="N9" i="16"/>
  <c r="N10" i="16"/>
  <c r="N11" i="16"/>
  <c r="N12" i="16"/>
  <c r="N13" i="16"/>
  <c r="N14" i="16"/>
  <c r="N12" i="19"/>
  <c r="N6" i="20"/>
  <c r="N477" i="20"/>
  <c r="N476" i="20"/>
  <c r="N475" i="20"/>
  <c r="N411" i="20"/>
  <c r="N410" i="20"/>
  <c r="N409" i="20"/>
  <c r="N408" i="20"/>
  <c r="N407" i="20"/>
  <c r="N253" i="20"/>
  <c r="N105" i="20"/>
  <c r="U26" i="14"/>
  <c r="S26" i="14"/>
  <c r="U25" i="14"/>
  <c r="S25" i="14"/>
  <c r="U24" i="14"/>
  <c r="T24" i="14"/>
  <c r="S24" i="14"/>
  <c r="U23" i="14"/>
  <c r="T23" i="14" s="1"/>
  <c r="S23" i="14"/>
  <c r="U22" i="14"/>
  <c r="S22" i="14"/>
  <c r="U21" i="14"/>
  <c r="S21" i="14"/>
  <c r="U20" i="14"/>
  <c r="S20" i="14"/>
  <c r="U19" i="14"/>
  <c r="S19" i="14"/>
  <c r="U18" i="14"/>
  <c r="S18" i="14"/>
  <c r="U17" i="14"/>
  <c r="S17" i="14"/>
  <c r="U16" i="14"/>
  <c r="T16" i="14"/>
  <c r="S16" i="14"/>
  <c r="U15" i="14"/>
  <c r="T15" i="14" s="1"/>
  <c r="S15" i="14"/>
  <c r="U14" i="14"/>
  <c r="S14" i="14"/>
  <c r="U13" i="14"/>
  <c r="S13" i="14"/>
  <c r="U12" i="14"/>
  <c r="T12" i="14" s="1"/>
  <c r="S12" i="14"/>
  <c r="U11" i="14"/>
  <c r="S11" i="14"/>
  <c r="U10" i="14"/>
  <c r="S10" i="14"/>
  <c r="U9" i="14"/>
  <c r="S9" i="14"/>
  <c r="U8" i="14"/>
  <c r="T8" i="14"/>
  <c r="S8" i="14"/>
  <c r="U7" i="14"/>
  <c r="T7" i="14" s="1"/>
  <c r="S7" i="14"/>
  <c r="U6" i="14"/>
  <c r="S6" i="14"/>
  <c r="U88" i="22"/>
  <c r="S88" i="22"/>
  <c r="U87" i="22"/>
  <c r="S87" i="22"/>
  <c r="U86" i="22"/>
  <c r="S86" i="22"/>
  <c r="U85" i="22"/>
  <c r="S85" i="22"/>
  <c r="U84" i="22"/>
  <c r="S84" i="22"/>
  <c r="U83" i="22"/>
  <c r="S83" i="22"/>
  <c r="U82" i="22"/>
  <c r="S82" i="22"/>
  <c r="U81" i="22"/>
  <c r="S81" i="22"/>
  <c r="U80" i="22"/>
  <c r="S80" i="22"/>
  <c r="U79" i="22"/>
  <c r="S79" i="22"/>
  <c r="U78" i="22"/>
  <c r="T78" i="22"/>
  <c r="S78" i="22"/>
  <c r="U77" i="22"/>
  <c r="T77" i="22" s="1"/>
  <c r="S77" i="22"/>
  <c r="U76" i="22"/>
  <c r="S76" i="22"/>
  <c r="U75" i="22"/>
  <c r="S75" i="22"/>
  <c r="U74" i="22"/>
  <c r="S74" i="22"/>
  <c r="U73" i="22"/>
  <c r="S73" i="22"/>
  <c r="U72" i="22"/>
  <c r="S72" i="22"/>
  <c r="U71" i="22"/>
  <c r="S71" i="22"/>
  <c r="U70" i="22"/>
  <c r="T70" i="22" s="1"/>
  <c r="S70" i="22"/>
  <c r="U69" i="22"/>
  <c r="S69" i="22"/>
  <c r="U68" i="22"/>
  <c r="S68" i="22"/>
  <c r="U67" i="22"/>
  <c r="S67" i="22"/>
  <c r="U66" i="22"/>
  <c r="S66" i="22"/>
  <c r="U65" i="22"/>
  <c r="S65" i="22"/>
  <c r="U64" i="22"/>
  <c r="S64" i="22"/>
  <c r="U63" i="22"/>
  <c r="S63" i="22"/>
  <c r="U62" i="22"/>
  <c r="S62" i="22"/>
  <c r="U61" i="22"/>
  <c r="S61" i="22"/>
  <c r="U60" i="22"/>
  <c r="S60" i="22"/>
  <c r="U59" i="22"/>
  <c r="S59" i="22"/>
  <c r="U58" i="22"/>
  <c r="S58" i="22"/>
  <c r="U57" i="22"/>
  <c r="S57" i="22"/>
  <c r="U56" i="22"/>
  <c r="S56" i="22"/>
  <c r="U55" i="22"/>
  <c r="S55" i="22"/>
  <c r="U54" i="22"/>
  <c r="T54" i="22"/>
  <c r="S54" i="22"/>
  <c r="U53" i="22"/>
  <c r="T53" i="22" s="1"/>
  <c r="S53" i="22"/>
  <c r="U52" i="22"/>
  <c r="S52" i="22"/>
  <c r="U51" i="22"/>
  <c r="S51" i="22"/>
  <c r="U50" i="22"/>
  <c r="T50" i="22" s="1"/>
  <c r="S50" i="22"/>
  <c r="U49" i="22"/>
  <c r="S49" i="22"/>
  <c r="U48" i="22"/>
  <c r="S48" i="22"/>
  <c r="U47" i="22"/>
  <c r="S47" i="22"/>
  <c r="U46" i="22"/>
  <c r="T46" i="22" s="1"/>
  <c r="S46" i="22"/>
  <c r="U45" i="22"/>
  <c r="S45" i="22"/>
  <c r="U44" i="22"/>
  <c r="S44" i="22"/>
  <c r="U43" i="22"/>
  <c r="S43" i="22"/>
  <c r="U42" i="22"/>
  <c r="S42" i="22"/>
  <c r="U41" i="22"/>
  <c r="S41" i="22"/>
  <c r="U40" i="22"/>
  <c r="S40" i="22"/>
  <c r="U39" i="22"/>
  <c r="S39" i="22"/>
  <c r="U38" i="22"/>
  <c r="T38" i="22"/>
  <c r="S38" i="22"/>
  <c r="U37" i="22"/>
  <c r="T37" i="22" s="1"/>
  <c r="S37" i="22"/>
  <c r="U36" i="22"/>
  <c r="S36" i="22"/>
  <c r="U35" i="22"/>
  <c r="S35" i="22"/>
  <c r="U34" i="22"/>
  <c r="S34" i="22"/>
  <c r="U33" i="22"/>
  <c r="S33" i="22"/>
  <c r="U32" i="22"/>
  <c r="S32" i="22"/>
  <c r="U31" i="22"/>
  <c r="S31" i="22"/>
  <c r="U30" i="22"/>
  <c r="S30" i="22"/>
  <c r="U29" i="22"/>
  <c r="S29" i="22"/>
  <c r="U28" i="22"/>
  <c r="S28" i="22"/>
  <c r="U27" i="22"/>
  <c r="S27" i="22"/>
  <c r="U26" i="22"/>
  <c r="S26" i="22"/>
  <c r="U25" i="22"/>
  <c r="S25" i="22"/>
  <c r="U24" i="22"/>
  <c r="S24" i="22"/>
  <c r="U23" i="22"/>
  <c r="S23" i="22"/>
  <c r="U22" i="22"/>
  <c r="T22" i="22"/>
  <c r="S22" i="22"/>
  <c r="U21" i="22"/>
  <c r="S21" i="22"/>
  <c r="U20" i="22"/>
  <c r="S20" i="22"/>
  <c r="U19" i="22"/>
  <c r="S19" i="22"/>
  <c r="U18" i="22"/>
  <c r="T18" i="22" s="1"/>
  <c r="S18" i="22"/>
  <c r="U17" i="22"/>
  <c r="S17" i="22"/>
  <c r="U16" i="22"/>
  <c r="S16" i="22"/>
  <c r="U15" i="22"/>
  <c r="S15" i="22"/>
  <c r="U14" i="22"/>
  <c r="T14" i="22" s="1"/>
  <c r="S14" i="22"/>
  <c r="U13" i="22"/>
  <c r="S13" i="22"/>
  <c r="U12" i="22"/>
  <c r="S12" i="22"/>
  <c r="U11" i="22"/>
  <c r="S11" i="22"/>
  <c r="U10" i="22"/>
  <c r="S10" i="22"/>
  <c r="U9" i="22"/>
  <c r="S9" i="22"/>
  <c r="U8" i="22"/>
  <c r="S8" i="22"/>
  <c r="U7" i="22"/>
  <c r="S7" i="22"/>
  <c r="U6" i="22"/>
  <c r="T6" i="22"/>
  <c r="S6" i="22"/>
  <c r="U112" i="21"/>
  <c r="T112" i="21" s="1"/>
  <c r="S112" i="21"/>
  <c r="U111" i="21"/>
  <c r="S111" i="21"/>
  <c r="U110" i="21"/>
  <c r="S110" i="21"/>
  <c r="U109" i="21"/>
  <c r="S109" i="21"/>
  <c r="U108" i="21"/>
  <c r="S108" i="21"/>
  <c r="U107" i="21"/>
  <c r="S107" i="21"/>
  <c r="U106" i="21"/>
  <c r="S106" i="21"/>
  <c r="U105" i="21"/>
  <c r="S105" i="21"/>
  <c r="U104" i="21"/>
  <c r="S104" i="21"/>
  <c r="U103" i="21"/>
  <c r="S103" i="21"/>
  <c r="U102" i="21"/>
  <c r="S102" i="21"/>
  <c r="U101" i="21"/>
  <c r="S101" i="21"/>
  <c r="U100" i="21"/>
  <c r="S100" i="21"/>
  <c r="U99" i="21"/>
  <c r="S99" i="21"/>
  <c r="U98" i="21"/>
  <c r="T98" i="21"/>
  <c r="S98" i="21"/>
  <c r="U97" i="21"/>
  <c r="S97" i="21"/>
  <c r="U96" i="21"/>
  <c r="T96" i="21" s="1"/>
  <c r="S96" i="21"/>
  <c r="U95" i="21"/>
  <c r="S95" i="21"/>
  <c r="U94" i="21"/>
  <c r="T94" i="21" s="1"/>
  <c r="S94" i="21"/>
  <c r="U93" i="21"/>
  <c r="S93" i="21"/>
  <c r="U92" i="21"/>
  <c r="S92" i="21"/>
  <c r="U91" i="21"/>
  <c r="S91" i="21"/>
  <c r="U90" i="21"/>
  <c r="T90" i="21" s="1"/>
  <c r="S90" i="21"/>
  <c r="U89" i="21"/>
  <c r="S89" i="21"/>
  <c r="U88" i="21"/>
  <c r="S88" i="21"/>
  <c r="U87" i="21"/>
  <c r="S87" i="21"/>
  <c r="U86" i="21"/>
  <c r="S86" i="21"/>
  <c r="U85" i="21"/>
  <c r="S85" i="21"/>
  <c r="U84" i="21"/>
  <c r="S84" i="21"/>
  <c r="U83" i="21"/>
  <c r="S83" i="21"/>
  <c r="U82" i="21"/>
  <c r="T82" i="21"/>
  <c r="S82" i="21"/>
  <c r="U81" i="21"/>
  <c r="S81" i="21"/>
  <c r="U80" i="21"/>
  <c r="S80" i="21"/>
  <c r="U79" i="21"/>
  <c r="S79" i="21"/>
  <c r="U78" i="21"/>
  <c r="S78" i="21"/>
  <c r="U77" i="21"/>
  <c r="S77" i="21"/>
  <c r="U76" i="21"/>
  <c r="S76" i="21"/>
  <c r="U75" i="21"/>
  <c r="S75" i="21"/>
  <c r="U74" i="21"/>
  <c r="S74" i="21"/>
  <c r="U73" i="21"/>
  <c r="S73" i="21"/>
  <c r="U72" i="21"/>
  <c r="S72" i="21"/>
  <c r="U71" i="21"/>
  <c r="S71" i="21"/>
  <c r="U70" i="21"/>
  <c r="S70" i="21"/>
  <c r="U69" i="21"/>
  <c r="S69" i="21"/>
  <c r="U68" i="21"/>
  <c r="S68" i="21"/>
  <c r="U67" i="21"/>
  <c r="S67" i="21"/>
  <c r="U66" i="21"/>
  <c r="T66" i="21"/>
  <c r="S66" i="21"/>
  <c r="U65" i="21"/>
  <c r="S65" i="21"/>
  <c r="U64" i="21"/>
  <c r="S64" i="21"/>
  <c r="U63" i="21"/>
  <c r="S63" i="21"/>
  <c r="U62" i="21"/>
  <c r="T62" i="21" s="1"/>
  <c r="S62" i="21"/>
  <c r="U61" i="21"/>
  <c r="S61" i="21"/>
  <c r="U60" i="21"/>
  <c r="S60" i="21"/>
  <c r="U59" i="21"/>
  <c r="S59" i="21"/>
  <c r="U58" i="21"/>
  <c r="T58" i="21" s="1"/>
  <c r="S58" i="21"/>
  <c r="U57" i="21"/>
  <c r="S57" i="21"/>
  <c r="U56" i="21"/>
  <c r="S56" i="21"/>
  <c r="U55" i="21"/>
  <c r="S55" i="21"/>
  <c r="U54" i="21"/>
  <c r="S54" i="21"/>
  <c r="U53" i="21"/>
  <c r="S53" i="21"/>
  <c r="U52" i="21"/>
  <c r="S52" i="21"/>
  <c r="U51" i="21"/>
  <c r="S51" i="21"/>
  <c r="U50" i="21"/>
  <c r="T50" i="21"/>
  <c r="S50" i="21"/>
  <c r="U49" i="21"/>
  <c r="S49" i="21"/>
  <c r="U48" i="21"/>
  <c r="S48" i="21"/>
  <c r="U47" i="21"/>
  <c r="S47" i="21"/>
  <c r="U46" i="21"/>
  <c r="S46" i="21"/>
  <c r="U45" i="21"/>
  <c r="S45" i="21"/>
  <c r="U44" i="21"/>
  <c r="S44" i="21"/>
  <c r="U43" i="21"/>
  <c r="S43" i="21"/>
  <c r="U42" i="21"/>
  <c r="S42" i="21"/>
  <c r="U41" i="21"/>
  <c r="S41" i="21"/>
  <c r="U40" i="21"/>
  <c r="S40" i="21"/>
  <c r="U39" i="21"/>
  <c r="S39" i="21"/>
  <c r="U38" i="21"/>
  <c r="S38" i="21"/>
  <c r="U37" i="21"/>
  <c r="S37" i="21"/>
  <c r="U36" i="21"/>
  <c r="S36" i="21"/>
  <c r="U35" i="21"/>
  <c r="S35" i="21"/>
  <c r="U34" i="21"/>
  <c r="T34" i="21"/>
  <c r="S34" i="21"/>
  <c r="U33" i="21"/>
  <c r="S33" i="21"/>
  <c r="U32" i="21"/>
  <c r="S32" i="21"/>
  <c r="U31" i="21"/>
  <c r="S31" i="21"/>
  <c r="U30" i="21"/>
  <c r="T30" i="21" s="1"/>
  <c r="S30" i="21"/>
  <c r="U29" i="21"/>
  <c r="S29" i="21"/>
  <c r="U28" i="21"/>
  <c r="S28" i="21"/>
  <c r="U27" i="21"/>
  <c r="S27" i="21"/>
  <c r="U26" i="21"/>
  <c r="T26" i="21" s="1"/>
  <c r="S26" i="21"/>
  <c r="U25" i="21"/>
  <c r="S25" i="21"/>
  <c r="U24" i="21"/>
  <c r="S24" i="21"/>
  <c r="U23" i="21"/>
  <c r="S23" i="21"/>
  <c r="U22" i="21"/>
  <c r="S22" i="21"/>
  <c r="U21" i="21"/>
  <c r="S21" i="21"/>
  <c r="U20" i="21"/>
  <c r="S20" i="21"/>
  <c r="T20" i="21" s="1"/>
  <c r="U19" i="21"/>
  <c r="S19" i="21"/>
  <c r="U18" i="21"/>
  <c r="T18" i="21"/>
  <c r="S18" i="21"/>
  <c r="U17" i="21"/>
  <c r="S17" i="21"/>
  <c r="U16" i="21"/>
  <c r="S16" i="21"/>
  <c r="U15" i="21"/>
  <c r="S15" i="21"/>
  <c r="U14" i="21"/>
  <c r="S14" i="21"/>
  <c r="U13" i="21"/>
  <c r="S13" i="21"/>
  <c r="U12" i="21"/>
  <c r="S12" i="21"/>
  <c r="U11" i="21"/>
  <c r="S11" i="21"/>
  <c r="U10" i="21"/>
  <c r="S10" i="21"/>
  <c r="U9" i="21"/>
  <c r="S9" i="21"/>
  <c r="U8" i="21"/>
  <c r="S8" i="21"/>
  <c r="U7" i="21"/>
  <c r="S7" i="21"/>
  <c r="U6" i="21"/>
  <c r="S6" i="21"/>
  <c r="U684" i="20"/>
  <c r="S684" i="20"/>
  <c r="U683" i="20"/>
  <c r="S683" i="20"/>
  <c r="U682" i="20"/>
  <c r="S682" i="20"/>
  <c r="U681" i="20"/>
  <c r="S681" i="20"/>
  <c r="U680" i="20"/>
  <c r="S680" i="20"/>
  <c r="U679" i="20"/>
  <c r="S679" i="20"/>
  <c r="U678" i="20"/>
  <c r="S678" i="20"/>
  <c r="U677" i="20"/>
  <c r="S677" i="20"/>
  <c r="U676" i="20"/>
  <c r="S676" i="20"/>
  <c r="T676" i="20" s="1"/>
  <c r="V676" i="20" s="1"/>
  <c r="U675" i="20"/>
  <c r="S675" i="20"/>
  <c r="U674" i="20"/>
  <c r="T674" i="20"/>
  <c r="V674" i="20" s="1"/>
  <c r="S674" i="20"/>
  <c r="U673" i="20"/>
  <c r="S673" i="20"/>
  <c r="U672" i="20"/>
  <c r="S672" i="20"/>
  <c r="U671" i="20"/>
  <c r="S671" i="20"/>
  <c r="U670" i="20"/>
  <c r="T670" i="20" s="1"/>
  <c r="V670" i="20" s="1"/>
  <c r="W670" i="20" s="1"/>
  <c r="X670" i="20" s="1"/>
  <c r="Y670" i="20" s="1"/>
  <c r="S670" i="20"/>
  <c r="U669" i="20"/>
  <c r="S669" i="20"/>
  <c r="U668" i="20"/>
  <c r="S668" i="20"/>
  <c r="U667" i="20"/>
  <c r="S667" i="20"/>
  <c r="U666" i="20"/>
  <c r="T666" i="20" s="1"/>
  <c r="V666" i="20" s="1"/>
  <c r="W666" i="20" s="1"/>
  <c r="X666" i="20" s="1"/>
  <c r="Y666" i="20" s="1"/>
  <c r="S666" i="20"/>
  <c r="U665" i="20"/>
  <c r="S665" i="20"/>
  <c r="U664" i="20"/>
  <c r="S664" i="20"/>
  <c r="U663" i="20"/>
  <c r="S663" i="20"/>
  <c r="U662" i="20"/>
  <c r="S662" i="20"/>
  <c r="U661" i="20"/>
  <c r="S661" i="20"/>
  <c r="U660" i="20"/>
  <c r="S660" i="20"/>
  <c r="U659" i="20"/>
  <c r="S659" i="20"/>
  <c r="U658" i="20"/>
  <c r="T658" i="20" s="1"/>
  <c r="V658" i="20" s="1"/>
  <c r="S658" i="20"/>
  <c r="U657" i="20"/>
  <c r="S657" i="20"/>
  <c r="U656" i="20"/>
  <c r="S656" i="20"/>
  <c r="U655" i="20"/>
  <c r="S655" i="20"/>
  <c r="U654" i="20"/>
  <c r="S654" i="20"/>
  <c r="U653" i="20"/>
  <c r="S653" i="20"/>
  <c r="U652" i="20"/>
  <c r="S652" i="20"/>
  <c r="U651" i="20"/>
  <c r="S651" i="20"/>
  <c r="U650" i="20"/>
  <c r="S650" i="20"/>
  <c r="U649" i="20"/>
  <c r="S649" i="20"/>
  <c r="U648" i="20"/>
  <c r="S648" i="20"/>
  <c r="U647" i="20"/>
  <c r="S647" i="20"/>
  <c r="U646" i="20"/>
  <c r="S646" i="20"/>
  <c r="U645" i="20"/>
  <c r="S645" i="20"/>
  <c r="U644" i="20"/>
  <c r="S644" i="20"/>
  <c r="T644" i="20" s="1"/>
  <c r="V644" i="20" s="1"/>
  <c r="W644" i="20" s="1"/>
  <c r="X644" i="20" s="1"/>
  <c r="Y644" i="20" s="1"/>
  <c r="U643" i="20"/>
  <c r="S643" i="20"/>
  <c r="U642" i="20"/>
  <c r="T642" i="20"/>
  <c r="S642" i="20"/>
  <c r="U641" i="20"/>
  <c r="S641" i="20"/>
  <c r="U640" i="20"/>
  <c r="S640" i="20"/>
  <c r="U639" i="20"/>
  <c r="S639" i="20"/>
  <c r="U638" i="20"/>
  <c r="T638" i="20" s="1"/>
  <c r="S638" i="20"/>
  <c r="U637" i="20"/>
  <c r="S637" i="20"/>
  <c r="U636" i="20"/>
  <c r="S636" i="20"/>
  <c r="U635" i="20"/>
  <c r="S635" i="20"/>
  <c r="U634" i="20"/>
  <c r="T634" i="20" s="1"/>
  <c r="V634" i="20" s="1"/>
  <c r="S634" i="20"/>
  <c r="U633" i="20"/>
  <c r="S633" i="20"/>
  <c r="U632" i="20"/>
  <c r="S632" i="20"/>
  <c r="U631" i="20"/>
  <c r="S631" i="20"/>
  <c r="U630" i="20"/>
  <c r="S630" i="20"/>
  <c r="U629" i="20"/>
  <c r="S629" i="20"/>
  <c r="U628" i="20"/>
  <c r="S628" i="20"/>
  <c r="U627" i="20"/>
  <c r="S627" i="20"/>
  <c r="U626" i="20"/>
  <c r="T626" i="20" s="1"/>
  <c r="S626" i="20"/>
  <c r="U625" i="20"/>
  <c r="S625" i="20"/>
  <c r="U624" i="20"/>
  <c r="S624" i="20"/>
  <c r="U623" i="20"/>
  <c r="S623" i="20"/>
  <c r="U622" i="20"/>
  <c r="S622" i="20"/>
  <c r="U621" i="20"/>
  <c r="S621" i="20"/>
  <c r="U620" i="20"/>
  <c r="S620" i="20"/>
  <c r="U619" i="20"/>
  <c r="S619" i="20"/>
  <c r="U618" i="20"/>
  <c r="S618" i="20"/>
  <c r="U617" i="20"/>
  <c r="S617" i="20"/>
  <c r="U616" i="20"/>
  <c r="S616" i="20"/>
  <c r="U615" i="20"/>
  <c r="S615" i="20"/>
  <c r="U614" i="20"/>
  <c r="S614" i="20"/>
  <c r="U613" i="20"/>
  <c r="S613" i="20"/>
  <c r="U612" i="20"/>
  <c r="S612" i="20"/>
  <c r="T612" i="20" s="1"/>
  <c r="V612" i="20" s="1"/>
  <c r="U611" i="20"/>
  <c r="S611" i="20"/>
  <c r="U610" i="20"/>
  <c r="T610" i="20"/>
  <c r="V610" i="20" s="1"/>
  <c r="W610" i="20" s="1"/>
  <c r="X610" i="20" s="1"/>
  <c r="Y610" i="20" s="1"/>
  <c r="S610" i="20"/>
  <c r="U609" i="20"/>
  <c r="S609" i="20"/>
  <c r="U608" i="20"/>
  <c r="S608" i="20"/>
  <c r="U607" i="20"/>
  <c r="S607" i="20"/>
  <c r="U606" i="20"/>
  <c r="T606" i="20" s="1"/>
  <c r="V606" i="20" s="1"/>
  <c r="W606" i="20" s="1"/>
  <c r="X606" i="20" s="1"/>
  <c r="Y606" i="20" s="1"/>
  <c r="S606" i="20"/>
  <c r="U605" i="20"/>
  <c r="S605" i="20"/>
  <c r="U604" i="20"/>
  <c r="S604" i="20"/>
  <c r="U603" i="20"/>
  <c r="S603" i="20"/>
  <c r="U602" i="20"/>
  <c r="T602" i="20" s="1"/>
  <c r="V602" i="20" s="1"/>
  <c r="W602" i="20" s="1"/>
  <c r="X602" i="20" s="1"/>
  <c r="Y602" i="20" s="1"/>
  <c r="S602" i="20"/>
  <c r="U601" i="20"/>
  <c r="S601" i="20"/>
  <c r="U600" i="20"/>
  <c r="S600" i="20"/>
  <c r="U599" i="20"/>
  <c r="S599" i="20"/>
  <c r="U598" i="20"/>
  <c r="S598" i="20"/>
  <c r="U597" i="20"/>
  <c r="S597" i="20"/>
  <c r="U596" i="20"/>
  <c r="S596" i="20"/>
  <c r="U595" i="20"/>
  <c r="S595" i="20"/>
  <c r="U594" i="20"/>
  <c r="T594" i="20" s="1"/>
  <c r="V594" i="20" s="1"/>
  <c r="S594" i="20"/>
  <c r="U593" i="20"/>
  <c r="S593" i="20"/>
  <c r="U592" i="20"/>
  <c r="S592" i="20"/>
  <c r="U591" i="20"/>
  <c r="S591" i="20"/>
  <c r="U590" i="20"/>
  <c r="S590" i="20"/>
  <c r="U589" i="20"/>
  <c r="S589" i="20"/>
  <c r="U588" i="20"/>
  <c r="S588" i="20"/>
  <c r="U587" i="20"/>
  <c r="S587" i="20"/>
  <c r="U586" i="20"/>
  <c r="S586" i="20"/>
  <c r="U585" i="20"/>
  <c r="S585" i="20"/>
  <c r="U584" i="20"/>
  <c r="S584" i="20"/>
  <c r="U583" i="20"/>
  <c r="S583" i="20"/>
  <c r="U582" i="20"/>
  <c r="S582" i="20"/>
  <c r="U581" i="20"/>
  <c r="S581" i="20"/>
  <c r="U580" i="20"/>
  <c r="S580" i="20"/>
  <c r="U579" i="20"/>
  <c r="S579" i="20"/>
  <c r="U578" i="20"/>
  <c r="S578" i="20"/>
  <c r="U577" i="20"/>
  <c r="S577" i="20"/>
  <c r="U576" i="20"/>
  <c r="S576" i="20"/>
  <c r="U575" i="20"/>
  <c r="S575" i="20"/>
  <c r="U574" i="20"/>
  <c r="S574" i="20"/>
  <c r="U573" i="20"/>
  <c r="S573" i="20"/>
  <c r="U572" i="20"/>
  <c r="S572" i="20"/>
  <c r="U571" i="20"/>
  <c r="S571" i="20"/>
  <c r="U570" i="20"/>
  <c r="S570" i="20"/>
  <c r="U569" i="20"/>
  <c r="S569" i="20"/>
  <c r="U568" i="20"/>
  <c r="S568" i="20"/>
  <c r="U567" i="20"/>
  <c r="S567" i="20"/>
  <c r="U566" i="20"/>
  <c r="S566" i="20"/>
  <c r="U565" i="20"/>
  <c r="S565" i="20"/>
  <c r="U564" i="20"/>
  <c r="S564" i="20"/>
  <c r="U563" i="20"/>
  <c r="S563" i="20"/>
  <c r="U562" i="20"/>
  <c r="S562" i="20"/>
  <c r="U561" i="20"/>
  <c r="S561" i="20"/>
  <c r="U560" i="20"/>
  <c r="S560" i="20"/>
  <c r="U559" i="20"/>
  <c r="S559" i="20"/>
  <c r="U558" i="20"/>
  <c r="S558" i="20"/>
  <c r="T558" i="20" s="1"/>
  <c r="V558" i="20" s="1"/>
  <c r="U557" i="20"/>
  <c r="S557" i="20"/>
  <c r="U556" i="20"/>
  <c r="T556" i="20"/>
  <c r="V556" i="20" s="1"/>
  <c r="S556" i="20"/>
  <c r="U555" i="20"/>
  <c r="S555" i="20"/>
  <c r="U554" i="20"/>
  <c r="S554" i="20"/>
  <c r="U553" i="20"/>
  <c r="S553" i="20"/>
  <c r="U552" i="20"/>
  <c r="T552" i="20" s="1"/>
  <c r="V552" i="20" s="1"/>
  <c r="S552" i="20"/>
  <c r="U551" i="20"/>
  <c r="S551" i="20"/>
  <c r="U550" i="20"/>
  <c r="S550" i="20"/>
  <c r="U549" i="20"/>
  <c r="S549" i="20"/>
  <c r="U548" i="20"/>
  <c r="T548" i="20" s="1"/>
  <c r="V548" i="20" s="1"/>
  <c r="S548" i="20"/>
  <c r="U547" i="20"/>
  <c r="S547" i="20"/>
  <c r="U546" i="20"/>
  <c r="S546" i="20"/>
  <c r="U545" i="20"/>
  <c r="S545" i="20"/>
  <c r="U544" i="20"/>
  <c r="S544" i="20"/>
  <c r="U543" i="20"/>
  <c r="S543" i="20"/>
  <c r="U542" i="20"/>
  <c r="S542" i="20"/>
  <c r="U541" i="20"/>
  <c r="S541" i="20"/>
  <c r="U540" i="20"/>
  <c r="T540" i="20" s="1"/>
  <c r="V540" i="20" s="1"/>
  <c r="S540" i="20"/>
  <c r="U539" i="20"/>
  <c r="S539" i="20"/>
  <c r="U538" i="20"/>
  <c r="S538" i="20"/>
  <c r="U537" i="20"/>
  <c r="S537" i="20"/>
  <c r="U536" i="20"/>
  <c r="S536" i="20"/>
  <c r="U535" i="20"/>
  <c r="S535" i="20"/>
  <c r="U534" i="20"/>
  <c r="S534" i="20"/>
  <c r="U533" i="20"/>
  <c r="S533" i="20"/>
  <c r="U532" i="20"/>
  <c r="S532" i="20"/>
  <c r="U531" i="20"/>
  <c r="S531" i="20"/>
  <c r="U530" i="20"/>
  <c r="S530" i="20"/>
  <c r="U529" i="20"/>
  <c r="S529" i="20"/>
  <c r="U528" i="20"/>
  <c r="S528" i="20"/>
  <c r="U527" i="20"/>
  <c r="S527" i="20"/>
  <c r="U526" i="20"/>
  <c r="S526" i="20"/>
  <c r="T526" i="20" s="1"/>
  <c r="V526" i="20" s="1"/>
  <c r="U525" i="20"/>
  <c r="S525" i="20"/>
  <c r="U524" i="20"/>
  <c r="T524" i="20"/>
  <c r="V524" i="20" s="1"/>
  <c r="S524" i="20"/>
  <c r="U523" i="20"/>
  <c r="S523" i="20"/>
  <c r="U522" i="20"/>
  <c r="S522" i="20"/>
  <c r="U521" i="20"/>
  <c r="S521" i="20"/>
  <c r="U520" i="20"/>
  <c r="T520" i="20" s="1"/>
  <c r="V520" i="20" s="1"/>
  <c r="S520" i="20"/>
  <c r="U519" i="20"/>
  <c r="S519" i="20"/>
  <c r="U518" i="20"/>
  <c r="S518" i="20"/>
  <c r="U517" i="20"/>
  <c r="S517" i="20"/>
  <c r="U516" i="20"/>
  <c r="T516" i="20" s="1"/>
  <c r="V516" i="20" s="1"/>
  <c r="S516" i="20"/>
  <c r="U515" i="20"/>
  <c r="S515" i="20"/>
  <c r="U514" i="20"/>
  <c r="S514" i="20"/>
  <c r="U513" i="20"/>
  <c r="S513" i="20"/>
  <c r="U512" i="20"/>
  <c r="S512" i="20"/>
  <c r="U511" i="20"/>
  <c r="S511" i="20"/>
  <c r="U510" i="20"/>
  <c r="S510" i="20"/>
  <c r="U509" i="20"/>
  <c r="T509" i="20" s="1"/>
  <c r="V509" i="20" s="1"/>
  <c r="S509" i="20"/>
  <c r="U508" i="20"/>
  <c r="S508" i="20"/>
  <c r="U507" i="20"/>
  <c r="S507" i="20"/>
  <c r="U506" i="20"/>
  <c r="S506" i="20"/>
  <c r="U505" i="20"/>
  <c r="S505" i="20"/>
  <c r="U504" i="20"/>
  <c r="S504" i="20"/>
  <c r="U503" i="20"/>
  <c r="S503" i="20"/>
  <c r="U502" i="20"/>
  <c r="S502" i="20"/>
  <c r="U501" i="20"/>
  <c r="S501" i="20"/>
  <c r="U500" i="20"/>
  <c r="S500" i="20"/>
  <c r="U499" i="20"/>
  <c r="S499" i="20"/>
  <c r="U498" i="20"/>
  <c r="S498" i="20"/>
  <c r="U497" i="20"/>
  <c r="S497" i="20"/>
  <c r="U496" i="20"/>
  <c r="S496" i="20"/>
  <c r="U495" i="20"/>
  <c r="S495" i="20"/>
  <c r="T495" i="20" s="1"/>
  <c r="V495" i="20" s="1"/>
  <c r="U494" i="20"/>
  <c r="S494" i="20"/>
  <c r="U493" i="20"/>
  <c r="T493" i="20"/>
  <c r="V493" i="20" s="1"/>
  <c r="S493" i="20"/>
  <c r="U492" i="20"/>
  <c r="S492" i="20"/>
  <c r="U491" i="20"/>
  <c r="S491" i="20"/>
  <c r="U490" i="20"/>
  <c r="S490" i="20"/>
  <c r="U489" i="20"/>
  <c r="T489" i="20" s="1"/>
  <c r="V489" i="20" s="1"/>
  <c r="S489" i="20"/>
  <c r="U488" i="20"/>
  <c r="S488" i="20"/>
  <c r="U487" i="20"/>
  <c r="S487" i="20"/>
  <c r="U486" i="20"/>
  <c r="S486" i="20"/>
  <c r="U485" i="20"/>
  <c r="T485" i="20" s="1"/>
  <c r="V485" i="20" s="1"/>
  <c r="S485" i="20"/>
  <c r="U484" i="20"/>
  <c r="S484" i="20"/>
  <c r="U483" i="20"/>
  <c r="S483" i="20"/>
  <c r="U482" i="20"/>
  <c r="S482" i="20"/>
  <c r="U481" i="20"/>
  <c r="S481" i="20"/>
  <c r="U480" i="20"/>
  <c r="S480" i="20"/>
  <c r="U479" i="20"/>
  <c r="S479" i="20"/>
  <c r="U478" i="20"/>
  <c r="S478" i="20"/>
  <c r="U477" i="20"/>
  <c r="S477" i="20"/>
  <c r="U476" i="20"/>
  <c r="S476" i="20"/>
  <c r="U475" i="20"/>
  <c r="S475" i="20"/>
  <c r="U474" i="20"/>
  <c r="S474" i="20"/>
  <c r="U473" i="20"/>
  <c r="T473" i="20" s="1"/>
  <c r="V473" i="20" s="1"/>
  <c r="W473" i="20" s="1"/>
  <c r="X473" i="20" s="1"/>
  <c r="S473" i="20"/>
  <c r="U472" i="20"/>
  <c r="S472" i="20"/>
  <c r="U471" i="20"/>
  <c r="S471" i="20"/>
  <c r="U470" i="20"/>
  <c r="S470" i="20"/>
  <c r="U469" i="20"/>
  <c r="S469" i="20"/>
  <c r="U468" i="20"/>
  <c r="S468" i="20"/>
  <c r="U467" i="20"/>
  <c r="S467" i="20"/>
  <c r="U466" i="20"/>
  <c r="S466" i="20"/>
  <c r="U465" i="20"/>
  <c r="S465" i="20"/>
  <c r="U464" i="20"/>
  <c r="S464" i="20"/>
  <c r="U463" i="20"/>
  <c r="S463" i="20"/>
  <c r="U462" i="20"/>
  <c r="S462" i="20"/>
  <c r="U461" i="20"/>
  <c r="S461" i="20"/>
  <c r="T461" i="20" s="1"/>
  <c r="V461" i="20" s="1"/>
  <c r="W461" i="20" s="1"/>
  <c r="X461" i="20" s="1"/>
  <c r="U460" i="20"/>
  <c r="S460" i="20"/>
  <c r="U459" i="20"/>
  <c r="S459" i="20"/>
  <c r="T459" i="20" s="1"/>
  <c r="V459" i="20" s="1"/>
  <c r="W459" i="20" s="1"/>
  <c r="X459" i="20" s="1"/>
  <c r="U458" i="20"/>
  <c r="S458" i="20"/>
  <c r="U457" i="20"/>
  <c r="T457" i="20"/>
  <c r="V457" i="20" s="1"/>
  <c r="W457" i="20" s="1"/>
  <c r="X457" i="20" s="1"/>
  <c r="S457" i="20"/>
  <c r="U456" i="20"/>
  <c r="S456" i="20"/>
  <c r="U455" i="20"/>
  <c r="S455" i="20"/>
  <c r="U454" i="20"/>
  <c r="S454" i="20"/>
  <c r="U453" i="20"/>
  <c r="T453" i="20" s="1"/>
  <c r="V453" i="20" s="1"/>
  <c r="W453" i="20" s="1"/>
  <c r="X453" i="20" s="1"/>
  <c r="S453" i="20"/>
  <c r="U452" i="20"/>
  <c r="S452" i="20"/>
  <c r="U451" i="20"/>
  <c r="S451" i="20"/>
  <c r="U450" i="20"/>
  <c r="S450" i="20"/>
  <c r="U449" i="20"/>
  <c r="S449" i="20"/>
  <c r="U448" i="20"/>
  <c r="S448" i="20"/>
  <c r="U447" i="20"/>
  <c r="S447" i="20"/>
  <c r="U446" i="20"/>
  <c r="S446" i="20"/>
  <c r="U445" i="20"/>
  <c r="S445" i="20"/>
  <c r="U444" i="20"/>
  <c r="S444" i="20"/>
  <c r="U443" i="20"/>
  <c r="S443" i="20"/>
  <c r="U442" i="20"/>
  <c r="S442" i="20"/>
  <c r="U441" i="20"/>
  <c r="T441" i="20" s="1"/>
  <c r="V441" i="20" s="1"/>
  <c r="W441" i="20" s="1"/>
  <c r="X441" i="20" s="1"/>
  <c r="S441" i="20"/>
  <c r="U440" i="20"/>
  <c r="S440" i="20"/>
  <c r="U439" i="20"/>
  <c r="S439" i="20"/>
  <c r="U438" i="20"/>
  <c r="S438" i="20"/>
  <c r="U437" i="20"/>
  <c r="S437" i="20"/>
  <c r="U436" i="20"/>
  <c r="S436" i="20"/>
  <c r="U435" i="20"/>
  <c r="S435" i="20"/>
  <c r="U434" i="20"/>
  <c r="S434" i="20"/>
  <c r="U433" i="20"/>
  <c r="S433" i="20"/>
  <c r="U432" i="20"/>
  <c r="S432" i="20"/>
  <c r="U431" i="20"/>
  <c r="S431" i="20"/>
  <c r="U430" i="20"/>
  <c r="S430" i="20"/>
  <c r="U429" i="20"/>
  <c r="S429" i="20"/>
  <c r="U428" i="20"/>
  <c r="S428" i="20"/>
  <c r="U427" i="20"/>
  <c r="S427" i="20"/>
  <c r="T427" i="20" s="1"/>
  <c r="V427" i="20" s="1"/>
  <c r="W427" i="20" s="1"/>
  <c r="X427" i="20" s="1"/>
  <c r="U426" i="20"/>
  <c r="S426" i="20"/>
  <c r="U425" i="20"/>
  <c r="T425" i="20"/>
  <c r="V425" i="20" s="1"/>
  <c r="W425" i="20" s="1"/>
  <c r="X425" i="20" s="1"/>
  <c r="S425" i="20"/>
  <c r="U424" i="20"/>
  <c r="S424" i="20"/>
  <c r="U423" i="20"/>
  <c r="S423" i="20"/>
  <c r="U422" i="20"/>
  <c r="S422" i="20"/>
  <c r="U421" i="20"/>
  <c r="T421" i="20" s="1"/>
  <c r="V421" i="20" s="1"/>
  <c r="W421" i="20" s="1"/>
  <c r="X421" i="20" s="1"/>
  <c r="S421" i="20"/>
  <c r="U420" i="20"/>
  <c r="S420" i="20"/>
  <c r="U419" i="20"/>
  <c r="S419" i="20"/>
  <c r="U418" i="20"/>
  <c r="S418" i="20"/>
  <c r="U417" i="20"/>
  <c r="S417" i="20"/>
  <c r="U416" i="20"/>
  <c r="S416" i="20"/>
  <c r="U415" i="20"/>
  <c r="S415" i="20"/>
  <c r="U414" i="20"/>
  <c r="S414" i="20"/>
  <c r="U413" i="20"/>
  <c r="S413" i="20"/>
  <c r="U412" i="20"/>
  <c r="S412" i="20"/>
  <c r="U411" i="20"/>
  <c r="S411" i="20"/>
  <c r="U410" i="20"/>
  <c r="S410" i="20"/>
  <c r="U409" i="20"/>
  <c r="T409" i="20" s="1"/>
  <c r="V409" i="20" s="1"/>
  <c r="S409" i="20"/>
  <c r="U408" i="20"/>
  <c r="S408" i="20"/>
  <c r="U407" i="20"/>
  <c r="S407" i="20"/>
  <c r="U406" i="20"/>
  <c r="S406" i="20"/>
  <c r="U405" i="20"/>
  <c r="S405" i="20"/>
  <c r="U404" i="20"/>
  <c r="S404" i="20"/>
  <c r="U403" i="20"/>
  <c r="S403" i="20"/>
  <c r="U402" i="20"/>
  <c r="S402" i="20"/>
  <c r="U401" i="20"/>
  <c r="S401" i="20"/>
  <c r="U400" i="20"/>
  <c r="S400" i="20"/>
  <c r="U399" i="20"/>
  <c r="S399" i="20"/>
  <c r="U398" i="20"/>
  <c r="S398" i="20"/>
  <c r="U397" i="20"/>
  <c r="S397" i="20"/>
  <c r="U396" i="20"/>
  <c r="S396" i="20"/>
  <c r="U395" i="20"/>
  <c r="S395" i="20"/>
  <c r="T395" i="20" s="1"/>
  <c r="V395" i="20" s="1"/>
  <c r="U394" i="20"/>
  <c r="S394" i="20"/>
  <c r="U393" i="20"/>
  <c r="T393" i="20"/>
  <c r="V393" i="20" s="1"/>
  <c r="S393" i="20"/>
  <c r="U392" i="20"/>
  <c r="S392" i="20"/>
  <c r="U391" i="20"/>
  <c r="S391" i="20"/>
  <c r="U390" i="20"/>
  <c r="S390" i="20"/>
  <c r="U389" i="20"/>
  <c r="T389" i="20" s="1"/>
  <c r="V389" i="20" s="1"/>
  <c r="S389" i="20"/>
  <c r="U388" i="20"/>
  <c r="S388" i="20"/>
  <c r="U387" i="20"/>
  <c r="S387" i="20"/>
  <c r="U386" i="20"/>
  <c r="S386" i="20"/>
  <c r="U385" i="20"/>
  <c r="S385" i="20"/>
  <c r="U384" i="20"/>
  <c r="S384" i="20"/>
  <c r="U383" i="20"/>
  <c r="S383" i="20"/>
  <c r="U382" i="20"/>
  <c r="S382" i="20"/>
  <c r="U381" i="20"/>
  <c r="S381" i="20"/>
  <c r="U380" i="20"/>
  <c r="S380" i="20"/>
  <c r="U379" i="20"/>
  <c r="S379" i="20"/>
  <c r="U378" i="20"/>
  <c r="S378" i="20"/>
  <c r="U377" i="20"/>
  <c r="T377" i="20" s="1"/>
  <c r="V377" i="20" s="1"/>
  <c r="S377" i="20"/>
  <c r="U376" i="20"/>
  <c r="S376" i="20"/>
  <c r="U375" i="20"/>
  <c r="S375" i="20"/>
  <c r="U374" i="20"/>
  <c r="S374" i="20"/>
  <c r="U373" i="20"/>
  <c r="S373" i="20"/>
  <c r="U372" i="20"/>
  <c r="S372" i="20"/>
  <c r="U371" i="20"/>
  <c r="S371" i="20"/>
  <c r="U370" i="20"/>
  <c r="S370" i="20"/>
  <c r="U369" i="20"/>
  <c r="S369" i="20"/>
  <c r="U368" i="20"/>
  <c r="S368" i="20"/>
  <c r="U367" i="20"/>
  <c r="S367" i="20"/>
  <c r="U366" i="20"/>
  <c r="S366" i="20"/>
  <c r="U365" i="20"/>
  <c r="S365" i="20"/>
  <c r="U364" i="20"/>
  <c r="S364" i="20"/>
  <c r="U363" i="20"/>
  <c r="S363" i="20"/>
  <c r="T363" i="20" s="1"/>
  <c r="V363" i="20" s="1"/>
  <c r="U362" i="20"/>
  <c r="S362" i="20"/>
  <c r="U361" i="20"/>
  <c r="T361" i="20"/>
  <c r="V361" i="20" s="1"/>
  <c r="S361" i="20"/>
  <c r="U360" i="20"/>
  <c r="S360" i="20"/>
  <c r="U359" i="20"/>
  <c r="S359" i="20"/>
  <c r="U358" i="20"/>
  <c r="S358" i="20"/>
  <c r="U357" i="20"/>
  <c r="T357" i="20" s="1"/>
  <c r="V357" i="20" s="1"/>
  <c r="S357" i="20"/>
  <c r="U356" i="20"/>
  <c r="S356" i="20"/>
  <c r="U355" i="20"/>
  <c r="S355" i="20"/>
  <c r="U354" i="20"/>
  <c r="S354" i="20"/>
  <c r="U353" i="20"/>
  <c r="T353" i="20" s="1"/>
  <c r="V353" i="20" s="1"/>
  <c r="S353" i="20"/>
  <c r="U352" i="20"/>
  <c r="S352" i="20"/>
  <c r="U351" i="20"/>
  <c r="S351" i="20"/>
  <c r="U350" i="20"/>
  <c r="S350" i="20"/>
  <c r="U349" i="20"/>
  <c r="S349" i="20"/>
  <c r="U348" i="20"/>
  <c r="S348" i="20"/>
  <c r="U347" i="20"/>
  <c r="S347" i="20"/>
  <c r="U346" i="20"/>
  <c r="S346" i="20"/>
  <c r="U345" i="20"/>
  <c r="T345" i="20" s="1"/>
  <c r="V345" i="20" s="1"/>
  <c r="S345" i="20"/>
  <c r="U344" i="20"/>
  <c r="S344" i="20"/>
  <c r="U343" i="20"/>
  <c r="S343" i="20"/>
  <c r="U342" i="20"/>
  <c r="S342" i="20"/>
  <c r="U341" i="20"/>
  <c r="S341" i="20"/>
  <c r="U340" i="20"/>
  <c r="S340" i="20"/>
  <c r="U339" i="20"/>
  <c r="S339" i="20"/>
  <c r="U338" i="20"/>
  <c r="S338" i="20"/>
  <c r="U337" i="20"/>
  <c r="S337" i="20"/>
  <c r="U336" i="20"/>
  <c r="S336" i="20"/>
  <c r="U335" i="20"/>
  <c r="S335" i="20"/>
  <c r="U334" i="20"/>
  <c r="S334" i="20"/>
  <c r="U333" i="20"/>
  <c r="S333" i="20"/>
  <c r="U332" i="20"/>
  <c r="S332" i="20"/>
  <c r="U331" i="20"/>
  <c r="S331" i="20"/>
  <c r="T331" i="20" s="1"/>
  <c r="V331" i="20" s="1"/>
  <c r="U330" i="20"/>
  <c r="S330" i="20"/>
  <c r="U329" i="20"/>
  <c r="T329" i="20"/>
  <c r="V329" i="20" s="1"/>
  <c r="S329" i="20"/>
  <c r="U328" i="20"/>
  <c r="S328" i="20"/>
  <c r="U327" i="20"/>
  <c r="S327" i="20"/>
  <c r="U326" i="20"/>
  <c r="S326" i="20"/>
  <c r="U325" i="20"/>
  <c r="S325" i="20"/>
  <c r="U324" i="20"/>
  <c r="S324" i="20"/>
  <c r="U323" i="20"/>
  <c r="T323" i="20" s="1"/>
  <c r="V323" i="20" s="1"/>
  <c r="S323" i="20"/>
  <c r="U322" i="20"/>
  <c r="S322" i="20"/>
  <c r="U321" i="20"/>
  <c r="S321" i="20"/>
  <c r="U320" i="20"/>
  <c r="S320" i="20"/>
  <c r="U319" i="20"/>
  <c r="T319" i="20" s="1"/>
  <c r="V319" i="20" s="1"/>
  <c r="S319" i="20"/>
  <c r="U318" i="20"/>
  <c r="S318" i="20"/>
  <c r="U317" i="20"/>
  <c r="S317" i="20"/>
  <c r="U316" i="20"/>
  <c r="S316" i="20"/>
  <c r="U315" i="20"/>
  <c r="S315" i="20"/>
  <c r="U314" i="20"/>
  <c r="S314" i="20"/>
  <c r="U313" i="20"/>
  <c r="S313" i="20"/>
  <c r="U312" i="20"/>
  <c r="S312" i="20"/>
  <c r="U311" i="20"/>
  <c r="T311" i="20" s="1"/>
  <c r="V311" i="20" s="1"/>
  <c r="S311" i="20"/>
  <c r="U310" i="20"/>
  <c r="S310" i="20"/>
  <c r="U309" i="20"/>
  <c r="S309" i="20"/>
  <c r="U308" i="20"/>
  <c r="S308" i="20"/>
  <c r="U307" i="20"/>
  <c r="S307" i="20"/>
  <c r="U306" i="20"/>
  <c r="S306" i="20"/>
  <c r="U305" i="20"/>
  <c r="S305" i="20"/>
  <c r="U304" i="20"/>
  <c r="S304" i="20"/>
  <c r="U303" i="20"/>
  <c r="S303" i="20"/>
  <c r="U302" i="20"/>
  <c r="S302" i="20"/>
  <c r="U301" i="20"/>
  <c r="S301" i="20"/>
  <c r="U300" i="20"/>
  <c r="S300" i="20"/>
  <c r="U299" i="20"/>
  <c r="S299" i="20"/>
  <c r="U298" i="20"/>
  <c r="S298" i="20"/>
  <c r="U297" i="20"/>
  <c r="S297" i="20"/>
  <c r="T297" i="20" s="1"/>
  <c r="V297" i="20" s="1"/>
  <c r="U296" i="20"/>
  <c r="S296" i="20"/>
  <c r="U295" i="20"/>
  <c r="T295" i="20"/>
  <c r="V295" i="20" s="1"/>
  <c r="S295" i="20"/>
  <c r="U294" i="20"/>
  <c r="S294" i="20"/>
  <c r="U293" i="20"/>
  <c r="S293" i="20"/>
  <c r="U292" i="20"/>
  <c r="S292" i="20"/>
  <c r="U291" i="20"/>
  <c r="T291" i="20" s="1"/>
  <c r="V291" i="20" s="1"/>
  <c r="S291" i="20"/>
  <c r="U290" i="20"/>
  <c r="S290" i="20"/>
  <c r="U289" i="20"/>
  <c r="S289" i="20"/>
  <c r="U288" i="20"/>
  <c r="S288" i="20"/>
  <c r="U287" i="20"/>
  <c r="T287" i="20" s="1"/>
  <c r="V287" i="20" s="1"/>
  <c r="W287" i="20" s="1"/>
  <c r="X287" i="20" s="1"/>
  <c r="Y287" i="20" s="1"/>
  <c r="S287" i="20"/>
  <c r="U286" i="20"/>
  <c r="S286" i="20"/>
  <c r="U285" i="20"/>
  <c r="S285" i="20"/>
  <c r="U284" i="20"/>
  <c r="S284" i="20"/>
  <c r="U283" i="20"/>
  <c r="S283" i="20"/>
  <c r="U282" i="20"/>
  <c r="S282" i="20"/>
  <c r="U281" i="20"/>
  <c r="S281" i="20"/>
  <c r="U280" i="20"/>
  <c r="S280" i="20"/>
  <c r="U279" i="20"/>
  <c r="T279" i="20" s="1"/>
  <c r="V279" i="20" s="1"/>
  <c r="S279" i="20"/>
  <c r="U278" i="20"/>
  <c r="S278" i="20"/>
  <c r="U277" i="20"/>
  <c r="S277" i="20"/>
  <c r="U276" i="20"/>
  <c r="S276" i="20"/>
  <c r="U275" i="20"/>
  <c r="S275" i="20"/>
  <c r="U274" i="20"/>
  <c r="S274" i="20"/>
  <c r="U273" i="20"/>
  <c r="S273" i="20"/>
  <c r="U272" i="20"/>
  <c r="S272" i="20"/>
  <c r="U271" i="20"/>
  <c r="S271" i="20"/>
  <c r="U270" i="20"/>
  <c r="S270" i="20"/>
  <c r="U269" i="20"/>
  <c r="S269" i="20"/>
  <c r="U268" i="20"/>
  <c r="S268" i="20"/>
  <c r="U267" i="20"/>
  <c r="S267" i="20"/>
  <c r="U266" i="20"/>
  <c r="S266" i="20"/>
  <c r="U265" i="20"/>
  <c r="S265" i="20"/>
  <c r="T265" i="20" s="1"/>
  <c r="V265" i="20" s="1"/>
  <c r="W265" i="20" s="1"/>
  <c r="X265" i="20" s="1"/>
  <c r="Y265" i="20" s="1"/>
  <c r="U264" i="20"/>
  <c r="S264" i="20"/>
  <c r="U263" i="20"/>
  <c r="T263" i="20"/>
  <c r="V263" i="20" s="1"/>
  <c r="W263" i="20" s="1"/>
  <c r="X263" i="20" s="1"/>
  <c r="Y263" i="20" s="1"/>
  <c r="S263" i="20"/>
  <c r="U262" i="20"/>
  <c r="S262" i="20"/>
  <c r="U261" i="20"/>
  <c r="S261" i="20"/>
  <c r="U260" i="20"/>
  <c r="S260" i="20"/>
  <c r="U259" i="20"/>
  <c r="S259" i="20"/>
  <c r="U258" i="20"/>
  <c r="S258" i="20"/>
  <c r="U257" i="20"/>
  <c r="S257" i="20"/>
  <c r="U256" i="20"/>
  <c r="S256" i="20"/>
  <c r="U255" i="20"/>
  <c r="S255" i="20"/>
  <c r="U254" i="20"/>
  <c r="S254" i="20"/>
  <c r="U253" i="20"/>
  <c r="S253" i="20"/>
  <c r="U252" i="20"/>
  <c r="S252" i="20"/>
  <c r="U251" i="20"/>
  <c r="S251" i="20"/>
  <c r="U250" i="20"/>
  <c r="S250" i="20"/>
  <c r="U249" i="20"/>
  <c r="S249" i="20"/>
  <c r="U248" i="20"/>
  <c r="S248" i="20"/>
  <c r="U247" i="20"/>
  <c r="S247" i="20"/>
  <c r="U246" i="20"/>
  <c r="S246" i="20"/>
  <c r="U245" i="20"/>
  <c r="S245" i="20"/>
  <c r="U244" i="20"/>
  <c r="S244" i="20"/>
  <c r="U243" i="20"/>
  <c r="S243" i="20"/>
  <c r="U242" i="20"/>
  <c r="S242" i="20"/>
  <c r="U241" i="20"/>
  <c r="S241" i="20"/>
  <c r="U240" i="20"/>
  <c r="S240" i="20"/>
  <c r="U239" i="20"/>
  <c r="S239" i="20"/>
  <c r="U238" i="20"/>
  <c r="S238" i="20"/>
  <c r="U237" i="20"/>
  <c r="S237" i="20"/>
  <c r="U236" i="20"/>
  <c r="S236" i="20"/>
  <c r="U235" i="20"/>
  <c r="S235" i="20"/>
  <c r="U234" i="20"/>
  <c r="S234" i="20"/>
  <c r="U233" i="20"/>
  <c r="S233" i="20"/>
  <c r="U232" i="20"/>
  <c r="S232" i="20"/>
  <c r="U231" i="20"/>
  <c r="S231" i="20"/>
  <c r="U230" i="20"/>
  <c r="S230" i="20"/>
  <c r="U229" i="20"/>
  <c r="S229" i="20"/>
  <c r="U228" i="20"/>
  <c r="S228" i="20"/>
  <c r="U227" i="20"/>
  <c r="S227" i="20"/>
  <c r="T227" i="20" s="1"/>
  <c r="V227" i="20" s="1"/>
  <c r="U226" i="20"/>
  <c r="S226" i="20"/>
  <c r="T226" i="20" s="1"/>
  <c r="V226" i="20" s="1"/>
  <c r="U225" i="20"/>
  <c r="S225" i="20"/>
  <c r="T225" i="20" s="1"/>
  <c r="V225" i="20" s="1"/>
  <c r="U224" i="20"/>
  <c r="S224" i="20"/>
  <c r="T224" i="20" s="1"/>
  <c r="V224" i="20" s="1"/>
  <c r="U223" i="20"/>
  <c r="S223" i="20"/>
  <c r="T223" i="20" s="1"/>
  <c r="V223" i="20" s="1"/>
  <c r="W223" i="20" s="1"/>
  <c r="X223" i="20" s="1"/>
  <c r="Y223" i="20" s="1"/>
  <c r="U222" i="20"/>
  <c r="S222" i="20"/>
  <c r="T222" i="20" s="1"/>
  <c r="V222" i="20" s="1"/>
  <c r="W222" i="20" s="1"/>
  <c r="X222" i="20" s="1"/>
  <c r="Y222" i="20" s="1"/>
  <c r="U221" i="20"/>
  <c r="S221" i="20"/>
  <c r="T221" i="20" s="1"/>
  <c r="U220" i="20"/>
  <c r="S220" i="20"/>
  <c r="T220" i="20" s="1"/>
  <c r="U219" i="20"/>
  <c r="S219" i="20"/>
  <c r="T219" i="20" s="1"/>
  <c r="U218" i="20"/>
  <c r="S218" i="20"/>
  <c r="T218" i="20" s="1"/>
  <c r="U217" i="20"/>
  <c r="S217" i="20"/>
  <c r="T217" i="20" s="1"/>
  <c r="U216" i="20"/>
  <c r="S216" i="20"/>
  <c r="T216" i="20" s="1"/>
  <c r="U215" i="20"/>
  <c r="S215" i="20"/>
  <c r="T215" i="20" s="1"/>
  <c r="U214" i="20"/>
  <c r="S214" i="20"/>
  <c r="T214" i="20" s="1"/>
  <c r="V214" i="20" s="1"/>
  <c r="W214" i="20" s="1"/>
  <c r="X214" i="20" s="1"/>
  <c r="Y214" i="20" s="1"/>
  <c r="U213" i="20"/>
  <c r="S213" i="20"/>
  <c r="T213" i="20" s="1"/>
  <c r="V213" i="20" s="1"/>
  <c r="U212" i="20"/>
  <c r="S212" i="20"/>
  <c r="T212" i="20" s="1"/>
  <c r="V212" i="20" s="1"/>
  <c r="U211" i="20"/>
  <c r="S211" i="20"/>
  <c r="T211" i="20" s="1"/>
  <c r="V211" i="20" s="1"/>
  <c r="U210" i="20"/>
  <c r="S210" i="20"/>
  <c r="T210" i="20" s="1"/>
  <c r="V210" i="20" s="1"/>
  <c r="U209" i="20"/>
  <c r="S209" i="20"/>
  <c r="T209" i="20" s="1"/>
  <c r="V209" i="20" s="1"/>
  <c r="U208" i="20"/>
  <c r="S208" i="20"/>
  <c r="T208" i="20" s="1"/>
  <c r="V208" i="20" s="1"/>
  <c r="U207" i="20"/>
  <c r="S207" i="20"/>
  <c r="T207" i="20" s="1"/>
  <c r="V207" i="20" s="1"/>
  <c r="U206" i="20"/>
  <c r="S206" i="20"/>
  <c r="T206" i="20" s="1"/>
  <c r="V206" i="20" s="1"/>
  <c r="U205" i="20"/>
  <c r="S205" i="20"/>
  <c r="T205" i="20" s="1"/>
  <c r="V205" i="20" s="1"/>
  <c r="U204" i="20"/>
  <c r="S204" i="20"/>
  <c r="T204" i="20" s="1"/>
  <c r="V204" i="20" s="1"/>
  <c r="U203" i="20"/>
  <c r="S203" i="20"/>
  <c r="T203" i="20" s="1"/>
  <c r="V203" i="20" s="1"/>
  <c r="U202" i="20"/>
  <c r="S202" i="20"/>
  <c r="T202" i="20" s="1"/>
  <c r="V202" i="20" s="1"/>
  <c r="U201" i="20"/>
  <c r="S201" i="20"/>
  <c r="T201" i="20" s="1"/>
  <c r="U200" i="20"/>
  <c r="S200" i="20"/>
  <c r="T200" i="20" s="1"/>
  <c r="U199" i="20"/>
  <c r="S199" i="20"/>
  <c r="T199" i="20" s="1"/>
  <c r="U198" i="20"/>
  <c r="S198" i="20"/>
  <c r="T198" i="20" s="1"/>
  <c r="U197" i="20"/>
  <c r="S197" i="20"/>
  <c r="T197" i="20" s="1"/>
  <c r="U196" i="20"/>
  <c r="S196" i="20"/>
  <c r="T196" i="20" s="1"/>
  <c r="U195" i="20"/>
  <c r="S195" i="20"/>
  <c r="T195" i="20" s="1"/>
  <c r="U194" i="20"/>
  <c r="S194" i="20"/>
  <c r="T194" i="20" s="1"/>
  <c r="V194" i="20" s="1"/>
  <c r="U193" i="20"/>
  <c r="S193" i="20"/>
  <c r="T193" i="20" s="1"/>
  <c r="V193" i="20" s="1"/>
  <c r="U192" i="20"/>
  <c r="S192" i="20"/>
  <c r="T192" i="20" s="1"/>
  <c r="V192" i="20" s="1"/>
  <c r="U191" i="20"/>
  <c r="S191" i="20"/>
  <c r="T191" i="20" s="1"/>
  <c r="V191" i="20" s="1"/>
  <c r="U190" i="20"/>
  <c r="S190" i="20"/>
  <c r="T190" i="20" s="1"/>
  <c r="V190" i="20" s="1"/>
  <c r="U189" i="20"/>
  <c r="S189" i="20"/>
  <c r="T189" i="20" s="1"/>
  <c r="V189" i="20" s="1"/>
  <c r="U188" i="20"/>
  <c r="S188" i="20"/>
  <c r="T188" i="20" s="1"/>
  <c r="V188" i="20" s="1"/>
  <c r="W188" i="20" s="1"/>
  <c r="X188" i="20" s="1"/>
  <c r="Y188" i="20" s="1"/>
  <c r="U187" i="20"/>
  <c r="S187" i="20"/>
  <c r="T187" i="20" s="1"/>
  <c r="V187" i="20" s="1"/>
  <c r="U186" i="20"/>
  <c r="S186" i="20"/>
  <c r="T186" i="20" s="1"/>
  <c r="V186" i="20" s="1"/>
  <c r="U185" i="20"/>
  <c r="S185" i="20"/>
  <c r="T185" i="20" s="1"/>
  <c r="V185" i="20" s="1"/>
  <c r="U184" i="20"/>
  <c r="S184" i="20"/>
  <c r="T184" i="20" s="1"/>
  <c r="V184" i="20" s="1"/>
  <c r="U183" i="20"/>
  <c r="S183" i="20"/>
  <c r="T183" i="20" s="1"/>
  <c r="V183" i="20" s="1"/>
  <c r="U182" i="20"/>
  <c r="S182" i="20"/>
  <c r="T182" i="20" s="1"/>
  <c r="V182" i="20" s="1"/>
  <c r="U181" i="20"/>
  <c r="S181" i="20"/>
  <c r="T181" i="20" s="1"/>
  <c r="V181" i="20" s="1"/>
  <c r="U180" i="20"/>
  <c r="S180" i="20"/>
  <c r="T180" i="20" s="1"/>
  <c r="V180" i="20" s="1"/>
  <c r="U179" i="20"/>
  <c r="S179" i="20"/>
  <c r="T179" i="20" s="1"/>
  <c r="V179" i="20" s="1"/>
  <c r="U178" i="20"/>
  <c r="S178" i="20"/>
  <c r="T178" i="20" s="1"/>
  <c r="V178" i="20" s="1"/>
  <c r="U177" i="20"/>
  <c r="S177" i="20"/>
  <c r="T177" i="20" s="1"/>
  <c r="U176" i="20"/>
  <c r="S176" i="20"/>
  <c r="T176" i="20" s="1"/>
  <c r="V176" i="20" s="1"/>
  <c r="U175" i="20"/>
  <c r="S175" i="20"/>
  <c r="T175" i="20" s="1"/>
  <c r="V175" i="20" s="1"/>
  <c r="U174" i="20"/>
  <c r="S174" i="20"/>
  <c r="T174" i="20" s="1"/>
  <c r="V174" i="20" s="1"/>
  <c r="U173" i="20"/>
  <c r="S173" i="20"/>
  <c r="T173" i="20" s="1"/>
  <c r="V173" i="20" s="1"/>
  <c r="U172" i="20"/>
  <c r="S172" i="20"/>
  <c r="T172" i="20" s="1"/>
  <c r="V172" i="20" s="1"/>
  <c r="W172" i="20" s="1"/>
  <c r="X172" i="20" s="1"/>
  <c r="Y172" i="20" s="1"/>
  <c r="U171" i="20"/>
  <c r="S171" i="20"/>
  <c r="T171" i="20" s="1"/>
  <c r="V171" i="20" s="1"/>
  <c r="U170" i="20"/>
  <c r="S170" i="20"/>
  <c r="T170" i="20" s="1"/>
  <c r="V170" i="20" s="1"/>
  <c r="U169" i="20"/>
  <c r="S169" i="20"/>
  <c r="T169" i="20" s="1"/>
  <c r="V169" i="20" s="1"/>
  <c r="U168" i="20"/>
  <c r="S168" i="20"/>
  <c r="T168" i="20" s="1"/>
  <c r="V168" i="20" s="1"/>
  <c r="U167" i="20"/>
  <c r="S167" i="20"/>
  <c r="T167" i="20" s="1"/>
  <c r="V167" i="20" s="1"/>
  <c r="U166" i="20"/>
  <c r="S166" i="20"/>
  <c r="T166" i="20" s="1"/>
  <c r="V166" i="20" s="1"/>
  <c r="U165" i="20"/>
  <c r="S165" i="20"/>
  <c r="T165" i="20" s="1"/>
  <c r="V165" i="20" s="1"/>
  <c r="U164" i="20"/>
  <c r="S164" i="20"/>
  <c r="T164" i="20" s="1"/>
  <c r="V164" i="20" s="1"/>
  <c r="U163" i="20"/>
  <c r="S163" i="20"/>
  <c r="T163" i="20" s="1"/>
  <c r="V163" i="20" s="1"/>
  <c r="U162" i="20"/>
  <c r="S162" i="20"/>
  <c r="T162" i="20" s="1"/>
  <c r="V162" i="20" s="1"/>
  <c r="U161" i="20"/>
  <c r="S161" i="20"/>
  <c r="T161" i="20" s="1"/>
  <c r="V161" i="20" s="1"/>
  <c r="U160" i="20"/>
  <c r="S160" i="20"/>
  <c r="T160" i="20" s="1"/>
  <c r="V160" i="20" s="1"/>
  <c r="U159" i="20"/>
  <c r="S159" i="20"/>
  <c r="T159" i="20" s="1"/>
  <c r="V159" i="20" s="1"/>
  <c r="U158" i="20"/>
  <c r="S158" i="20"/>
  <c r="T158" i="20" s="1"/>
  <c r="V158" i="20" s="1"/>
  <c r="U157" i="20"/>
  <c r="S157" i="20"/>
  <c r="T157" i="20" s="1"/>
  <c r="V157" i="20" s="1"/>
  <c r="U156" i="20"/>
  <c r="S156" i="20"/>
  <c r="T156" i="20" s="1"/>
  <c r="V156" i="20" s="1"/>
  <c r="U155" i="20"/>
  <c r="S155" i="20"/>
  <c r="T155" i="20" s="1"/>
  <c r="V155" i="20" s="1"/>
  <c r="U154" i="20"/>
  <c r="S154" i="20"/>
  <c r="T154" i="20" s="1"/>
  <c r="V154" i="20" s="1"/>
  <c r="U153" i="20"/>
  <c r="S153" i="20"/>
  <c r="T153" i="20" s="1"/>
  <c r="V153" i="20" s="1"/>
  <c r="U152" i="20"/>
  <c r="S152" i="20"/>
  <c r="T152" i="20" s="1"/>
  <c r="V152" i="20" s="1"/>
  <c r="U151" i="20"/>
  <c r="S151" i="20"/>
  <c r="T151" i="20" s="1"/>
  <c r="V151" i="20" s="1"/>
  <c r="U150" i="20"/>
  <c r="S150" i="20"/>
  <c r="U149" i="20"/>
  <c r="T149" i="20"/>
  <c r="V149" i="20" s="1"/>
  <c r="S149" i="20"/>
  <c r="U148" i="20"/>
  <c r="T148" i="20" s="1"/>
  <c r="V148" i="20" s="1"/>
  <c r="S148" i="20"/>
  <c r="U147" i="20"/>
  <c r="T147" i="20" s="1"/>
  <c r="V147" i="20" s="1"/>
  <c r="S147" i="20"/>
  <c r="U146" i="20"/>
  <c r="S146" i="20"/>
  <c r="U145" i="20"/>
  <c r="T145" i="20" s="1"/>
  <c r="V145" i="20" s="1"/>
  <c r="S145" i="20"/>
  <c r="U144" i="20"/>
  <c r="S144" i="20"/>
  <c r="U143" i="20"/>
  <c r="S143" i="20"/>
  <c r="U142" i="20"/>
  <c r="S142" i="20"/>
  <c r="U141" i="20"/>
  <c r="T141" i="20" s="1"/>
  <c r="V141" i="20" s="1"/>
  <c r="S141" i="20"/>
  <c r="U140" i="20"/>
  <c r="S140" i="20"/>
  <c r="U139" i="20"/>
  <c r="S139" i="20"/>
  <c r="U138" i="20"/>
  <c r="S138" i="20"/>
  <c r="U137" i="20"/>
  <c r="S137" i="20"/>
  <c r="U136" i="20"/>
  <c r="S136" i="20"/>
  <c r="U135" i="20"/>
  <c r="S135" i="20"/>
  <c r="U134" i="20"/>
  <c r="S134" i="20"/>
  <c r="U133" i="20"/>
  <c r="T133" i="20" s="1"/>
  <c r="S133" i="20"/>
  <c r="U132" i="20"/>
  <c r="S132" i="20"/>
  <c r="U131" i="20"/>
  <c r="S131" i="20"/>
  <c r="U130" i="20"/>
  <c r="S130" i="20"/>
  <c r="U129" i="20"/>
  <c r="S129" i="20"/>
  <c r="U128" i="20"/>
  <c r="S128" i="20"/>
  <c r="U127" i="20"/>
  <c r="S127" i="20"/>
  <c r="U126" i="20"/>
  <c r="S126" i="20"/>
  <c r="U125" i="20"/>
  <c r="S125" i="20"/>
  <c r="U124" i="20"/>
  <c r="S124" i="20"/>
  <c r="U123" i="20"/>
  <c r="S123" i="20"/>
  <c r="U122" i="20"/>
  <c r="S122" i="20"/>
  <c r="U121" i="20"/>
  <c r="S121" i="20"/>
  <c r="U120" i="20"/>
  <c r="S120" i="20"/>
  <c r="U119" i="20"/>
  <c r="S119" i="20"/>
  <c r="U118" i="20"/>
  <c r="S118" i="20"/>
  <c r="U117" i="20"/>
  <c r="T117" i="20"/>
  <c r="V117" i="20" s="1"/>
  <c r="S117" i="20"/>
  <c r="U116" i="20"/>
  <c r="T116" i="20" s="1"/>
  <c r="V116" i="20" s="1"/>
  <c r="S116" i="20"/>
  <c r="U115" i="20"/>
  <c r="T115" i="20" s="1"/>
  <c r="V115" i="20" s="1"/>
  <c r="S115" i="20"/>
  <c r="U114" i="20"/>
  <c r="S114" i="20"/>
  <c r="U113" i="20"/>
  <c r="T113" i="20" s="1"/>
  <c r="V113" i="20" s="1"/>
  <c r="S113" i="20"/>
  <c r="U112" i="20"/>
  <c r="S112" i="20"/>
  <c r="U111" i="20"/>
  <c r="S111" i="20"/>
  <c r="U110" i="20"/>
  <c r="S110" i="20"/>
  <c r="U109" i="20"/>
  <c r="T109" i="20" s="1"/>
  <c r="V109" i="20" s="1"/>
  <c r="S109" i="20"/>
  <c r="U108" i="20"/>
  <c r="S108" i="20"/>
  <c r="U107" i="20"/>
  <c r="S107" i="20"/>
  <c r="U106" i="20"/>
  <c r="S106" i="20"/>
  <c r="U105" i="20"/>
  <c r="S105" i="20"/>
  <c r="U104" i="20"/>
  <c r="S104" i="20"/>
  <c r="U103" i="20"/>
  <c r="S103" i="20"/>
  <c r="U102" i="20"/>
  <c r="S102" i="20"/>
  <c r="U101" i="20"/>
  <c r="T101" i="20" s="1"/>
  <c r="V101" i="20" s="1"/>
  <c r="W101" i="20" s="1"/>
  <c r="X101" i="20" s="1"/>
  <c r="Y101" i="20" s="1"/>
  <c r="S101" i="20"/>
  <c r="U100" i="20"/>
  <c r="S100" i="20"/>
  <c r="U99" i="20"/>
  <c r="S99" i="20"/>
  <c r="U98" i="20"/>
  <c r="S98" i="20"/>
  <c r="U97" i="20"/>
  <c r="S97" i="20"/>
  <c r="U96" i="20"/>
  <c r="S96" i="20"/>
  <c r="U95" i="20"/>
  <c r="S95" i="20"/>
  <c r="U94" i="20"/>
  <c r="S94" i="20"/>
  <c r="U93" i="20"/>
  <c r="S93" i="20"/>
  <c r="U92" i="20"/>
  <c r="S92" i="20"/>
  <c r="U91" i="20"/>
  <c r="S91" i="20"/>
  <c r="U90" i="20"/>
  <c r="S90" i="20"/>
  <c r="U89" i="20"/>
  <c r="S89" i="20"/>
  <c r="U88" i="20"/>
  <c r="S88" i="20"/>
  <c r="U87" i="20"/>
  <c r="S87" i="20"/>
  <c r="U86" i="20"/>
  <c r="S86" i="20"/>
  <c r="U85" i="20"/>
  <c r="T85" i="20"/>
  <c r="V85" i="20" s="1"/>
  <c r="S85" i="20"/>
  <c r="U84" i="20"/>
  <c r="T84" i="20" s="1"/>
  <c r="V84" i="20" s="1"/>
  <c r="W84" i="20" s="1"/>
  <c r="X84" i="20" s="1"/>
  <c r="Y84" i="20" s="1"/>
  <c r="S84" i="20"/>
  <c r="U83" i="20"/>
  <c r="T83" i="20" s="1"/>
  <c r="V83" i="20" s="1"/>
  <c r="W83" i="20" s="1"/>
  <c r="X83" i="20" s="1"/>
  <c r="Y83" i="20" s="1"/>
  <c r="S83" i="20"/>
  <c r="U82" i="20"/>
  <c r="S82" i="20"/>
  <c r="U81" i="20"/>
  <c r="T81" i="20" s="1"/>
  <c r="V81" i="20" s="1"/>
  <c r="S81" i="20"/>
  <c r="U80" i="20"/>
  <c r="S80" i="20"/>
  <c r="U79" i="20"/>
  <c r="S79" i="20"/>
  <c r="U78" i="20"/>
  <c r="S78" i="20"/>
  <c r="U77" i="20"/>
  <c r="T77" i="20" s="1"/>
  <c r="V77" i="20" s="1"/>
  <c r="W77" i="20" s="1"/>
  <c r="X77" i="20" s="1"/>
  <c r="Y77" i="20" s="1"/>
  <c r="S77" i="20"/>
  <c r="U76" i="20"/>
  <c r="S76" i="20"/>
  <c r="U75" i="20"/>
  <c r="S75" i="20"/>
  <c r="U74" i="20"/>
  <c r="S74" i="20"/>
  <c r="U73" i="20"/>
  <c r="S73" i="20"/>
  <c r="U72" i="20"/>
  <c r="S72" i="20"/>
  <c r="U71" i="20"/>
  <c r="S71" i="20"/>
  <c r="U70" i="20"/>
  <c r="S70" i="20"/>
  <c r="U69" i="20"/>
  <c r="T69" i="20" s="1"/>
  <c r="V69" i="20" s="1"/>
  <c r="S69" i="20"/>
  <c r="U68" i="20"/>
  <c r="S68" i="20"/>
  <c r="U67" i="20"/>
  <c r="S67" i="20"/>
  <c r="U66" i="20"/>
  <c r="S66" i="20"/>
  <c r="U65" i="20"/>
  <c r="S65" i="20"/>
  <c r="U64" i="20"/>
  <c r="S64" i="20"/>
  <c r="U63" i="20"/>
  <c r="S63" i="20"/>
  <c r="U62" i="20"/>
  <c r="S62" i="20"/>
  <c r="U61" i="20"/>
  <c r="S61" i="20"/>
  <c r="U60" i="20"/>
  <c r="S60" i="20"/>
  <c r="U59" i="20"/>
  <c r="S59" i="20"/>
  <c r="U58" i="20"/>
  <c r="S58" i="20"/>
  <c r="U57" i="20"/>
  <c r="S57" i="20"/>
  <c r="U56" i="20"/>
  <c r="S56" i="20"/>
  <c r="U55" i="20"/>
  <c r="S55" i="20"/>
  <c r="U54" i="20"/>
  <c r="S54" i="20"/>
  <c r="U53" i="20"/>
  <c r="T53" i="20"/>
  <c r="V53" i="20" s="1"/>
  <c r="W53" i="20" s="1"/>
  <c r="X53" i="20" s="1"/>
  <c r="Y53" i="20" s="1"/>
  <c r="S53" i="20"/>
  <c r="U52" i="20"/>
  <c r="T52" i="20" s="1"/>
  <c r="V52" i="20" s="1"/>
  <c r="S52" i="20"/>
  <c r="U51" i="20"/>
  <c r="T51" i="20" s="1"/>
  <c r="V51" i="20" s="1"/>
  <c r="S51" i="20"/>
  <c r="U50" i="20"/>
  <c r="S50" i="20"/>
  <c r="U49" i="20"/>
  <c r="S49" i="20"/>
  <c r="U48" i="20"/>
  <c r="S48" i="20"/>
  <c r="U47" i="20"/>
  <c r="S47" i="20"/>
  <c r="U46" i="20"/>
  <c r="S46" i="20"/>
  <c r="U45" i="20"/>
  <c r="T45" i="20" s="1"/>
  <c r="V45" i="20" s="1"/>
  <c r="S45" i="20"/>
  <c r="U44" i="20"/>
  <c r="S44" i="20"/>
  <c r="U43" i="20"/>
  <c r="S43" i="20"/>
  <c r="U42" i="20"/>
  <c r="S42" i="20"/>
  <c r="U41" i="20"/>
  <c r="S41" i="20"/>
  <c r="U40" i="20"/>
  <c r="S40" i="20"/>
  <c r="U39" i="20"/>
  <c r="S39" i="20"/>
  <c r="U38" i="20"/>
  <c r="S38" i="20"/>
  <c r="U37" i="20"/>
  <c r="T37" i="20" s="1"/>
  <c r="V37" i="20" s="1"/>
  <c r="S37" i="20"/>
  <c r="U36" i="20"/>
  <c r="S36" i="20"/>
  <c r="U35" i="20"/>
  <c r="S35" i="20"/>
  <c r="U34" i="20"/>
  <c r="S34" i="20"/>
  <c r="U33" i="20"/>
  <c r="S33" i="20"/>
  <c r="U32" i="20"/>
  <c r="S32" i="20"/>
  <c r="U31" i="20"/>
  <c r="S31" i="20"/>
  <c r="U30" i="20"/>
  <c r="S30" i="20"/>
  <c r="U29" i="20"/>
  <c r="S29" i="20"/>
  <c r="U28" i="20"/>
  <c r="S28" i="20"/>
  <c r="U27" i="20"/>
  <c r="S27" i="20"/>
  <c r="U26" i="20"/>
  <c r="S26" i="20"/>
  <c r="U25" i="20"/>
  <c r="S25" i="20"/>
  <c r="U24" i="20"/>
  <c r="S24" i="20"/>
  <c r="U23" i="20"/>
  <c r="S23" i="20"/>
  <c r="U22" i="20"/>
  <c r="S22" i="20"/>
  <c r="U21" i="20"/>
  <c r="T21" i="20"/>
  <c r="V21" i="20" s="1"/>
  <c r="S21" i="20"/>
  <c r="U20" i="20"/>
  <c r="T20" i="20" s="1"/>
  <c r="V20" i="20" s="1"/>
  <c r="W20" i="20" s="1"/>
  <c r="X20" i="20" s="1"/>
  <c r="Y20" i="20" s="1"/>
  <c r="S20" i="20"/>
  <c r="U19" i="20"/>
  <c r="T19" i="20" s="1"/>
  <c r="S19" i="20"/>
  <c r="U18" i="20"/>
  <c r="S18" i="20"/>
  <c r="U17" i="20"/>
  <c r="S17" i="20"/>
  <c r="U16" i="20"/>
  <c r="S16" i="20"/>
  <c r="U15" i="20"/>
  <c r="S15" i="20"/>
  <c r="U14" i="20"/>
  <c r="S14" i="20"/>
  <c r="U13" i="20"/>
  <c r="T13" i="20" s="1"/>
  <c r="V13" i="20" s="1"/>
  <c r="W13" i="20" s="1"/>
  <c r="X13" i="20" s="1"/>
  <c r="Y13" i="20" s="1"/>
  <c r="S13" i="20"/>
  <c r="U12" i="20"/>
  <c r="S12" i="20"/>
  <c r="U11" i="20"/>
  <c r="S11" i="20"/>
  <c r="U10" i="20"/>
  <c r="S10" i="20"/>
  <c r="U9" i="20"/>
  <c r="S9" i="20"/>
  <c r="U8" i="20"/>
  <c r="S8" i="20"/>
  <c r="U7" i="20"/>
  <c r="S7" i="20"/>
  <c r="U6" i="20"/>
  <c r="S6" i="20"/>
  <c r="U168" i="19"/>
  <c r="T168" i="19" s="1"/>
  <c r="S168" i="19"/>
  <c r="U153" i="19"/>
  <c r="S153" i="19"/>
  <c r="U148" i="19"/>
  <c r="S148" i="19"/>
  <c r="U147" i="19"/>
  <c r="S147" i="19"/>
  <c r="U146" i="19"/>
  <c r="S146" i="19"/>
  <c r="U136" i="19"/>
  <c r="S136" i="19"/>
  <c r="U110" i="19"/>
  <c r="S110" i="19"/>
  <c r="U103" i="19"/>
  <c r="S103" i="19"/>
  <c r="U63" i="19"/>
  <c r="S63" i="19"/>
  <c r="U56" i="19"/>
  <c r="S56" i="19"/>
  <c r="U39" i="19"/>
  <c r="S39" i="19"/>
  <c r="U28" i="19"/>
  <c r="S28" i="19"/>
  <c r="U21" i="19"/>
  <c r="S21" i="19"/>
  <c r="U174" i="19"/>
  <c r="S174" i="19"/>
  <c r="U172" i="19"/>
  <c r="S172" i="19"/>
  <c r="U171" i="19"/>
  <c r="S171" i="19"/>
  <c r="U170" i="19"/>
  <c r="S170" i="19"/>
  <c r="U169" i="19"/>
  <c r="S169" i="19"/>
  <c r="U167" i="19"/>
  <c r="S167" i="19"/>
  <c r="U166" i="19"/>
  <c r="S166" i="19"/>
  <c r="U165" i="19"/>
  <c r="S165" i="19"/>
  <c r="U164" i="19"/>
  <c r="S164" i="19"/>
  <c r="U163" i="19"/>
  <c r="S163" i="19"/>
  <c r="U162" i="19"/>
  <c r="S162" i="19"/>
  <c r="U161" i="19"/>
  <c r="S161" i="19"/>
  <c r="U160" i="19"/>
  <c r="S160" i="19"/>
  <c r="U159" i="19"/>
  <c r="S159" i="19"/>
  <c r="U158" i="19"/>
  <c r="S158" i="19"/>
  <c r="U157" i="19"/>
  <c r="S157" i="19"/>
  <c r="U156" i="19"/>
  <c r="S156" i="19"/>
  <c r="U155" i="19"/>
  <c r="S155" i="19"/>
  <c r="U154" i="19"/>
  <c r="S154" i="19"/>
  <c r="U152" i="19"/>
  <c r="S152" i="19"/>
  <c r="U151" i="19"/>
  <c r="S151" i="19"/>
  <c r="U150" i="19"/>
  <c r="S150" i="19"/>
  <c r="U149" i="19"/>
  <c r="S149" i="19"/>
  <c r="U145" i="19"/>
  <c r="S145" i="19"/>
  <c r="U144" i="19"/>
  <c r="S144" i="19"/>
  <c r="U143" i="19"/>
  <c r="S143" i="19"/>
  <c r="U142" i="19"/>
  <c r="S142" i="19"/>
  <c r="U141" i="19"/>
  <c r="S141" i="19"/>
  <c r="U140" i="19"/>
  <c r="S140" i="19"/>
  <c r="U139" i="19"/>
  <c r="S139" i="19"/>
  <c r="U138" i="19"/>
  <c r="S138" i="19"/>
  <c r="U137" i="19"/>
  <c r="S137" i="19"/>
  <c r="U135" i="19"/>
  <c r="S135" i="19"/>
  <c r="U134" i="19"/>
  <c r="S134" i="19"/>
  <c r="U133" i="19"/>
  <c r="S133" i="19"/>
  <c r="U132" i="19"/>
  <c r="S132" i="19"/>
  <c r="U131" i="19"/>
  <c r="S131" i="19"/>
  <c r="U130" i="19"/>
  <c r="S130" i="19"/>
  <c r="U129" i="19"/>
  <c r="S129" i="19"/>
  <c r="U128" i="19"/>
  <c r="S128" i="19"/>
  <c r="U127" i="19"/>
  <c r="S127" i="19"/>
  <c r="U126" i="19"/>
  <c r="S126" i="19"/>
  <c r="U125" i="19"/>
  <c r="S125" i="19"/>
  <c r="U124" i="19"/>
  <c r="S124" i="19"/>
  <c r="U123" i="19"/>
  <c r="S123" i="19"/>
  <c r="U122" i="19"/>
  <c r="S122" i="19"/>
  <c r="U121" i="19"/>
  <c r="S121" i="19"/>
  <c r="U120" i="19"/>
  <c r="S120" i="19"/>
  <c r="U119" i="19"/>
  <c r="S119" i="19"/>
  <c r="U118" i="19"/>
  <c r="S118" i="19"/>
  <c r="U117" i="19"/>
  <c r="S117" i="19"/>
  <c r="U116" i="19"/>
  <c r="S116" i="19"/>
  <c r="U115" i="19"/>
  <c r="S115" i="19"/>
  <c r="U114" i="19"/>
  <c r="S114" i="19"/>
  <c r="U113" i="19"/>
  <c r="S113" i="19"/>
  <c r="U112" i="19"/>
  <c r="S112" i="19"/>
  <c r="U111" i="19"/>
  <c r="S111" i="19"/>
  <c r="U109" i="19"/>
  <c r="S109" i="19"/>
  <c r="U108" i="19"/>
  <c r="S108" i="19"/>
  <c r="U107" i="19"/>
  <c r="S107" i="19"/>
  <c r="U106" i="19"/>
  <c r="S106" i="19"/>
  <c r="U105" i="19"/>
  <c r="S105" i="19"/>
  <c r="U104" i="19"/>
  <c r="S104" i="19"/>
  <c r="U102" i="19"/>
  <c r="S102" i="19"/>
  <c r="U101" i="19"/>
  <c r="S101" i="19"/>
  <c r="U100" i="19"/>
  <c r="S100" i="19"/>
  <c r="U99" i="19"/>
  <c r="S99" i="19"/>
  <c r="U98" i="19"/>
  <c r="S98" i="19"/>
  <c r="U97" i="19"/>
  <c r="S97" i="19"/>
  <c r="U96" i="19"/>
  <c r="S96" i="19"/>
  <c r="U95" i="19"/>
  <c r="S95" i="19"/>
  <c r="U94" i="19"/>
  <c r="S94" i="19"/>
  <c r="U93" i="19"/>
  <c r="S93" i="19"/>
  <c r="U92" i="19"/>
  <c r="S92" i="19"/>
  <c r="U91" i="19"/>
  <c r="S91" i="19"/>
  <c r="U90" i="19"/>
  <c r="S90" i="19"/>
  <c r="U89" i="19"/>
  <c r="S89" i="19"/>
  <c r="U88" i="19"/>
  <c r="S88" i="19"/>
  <c r="U87" i="19"/>
  <c r="S87" i="19"/>
  <c r="U86" i="19"/>
  <c r="S86" i="19"/>
  <c r="U85" i="19"/>
  <c r="S85" i="19"/>
  <c r="U84" i="19"/>
  <c r="S84" i="19"/>
  <c r="U83" i="19"/>
  <c r="S83" i="19"/>
  <c r="U82" i="19"/>
  <c r="S82" i="19"/>
  <c r="U81" i="19"/>
  <c r="S81" i="19"/>
  <c r="U80" i="19"/>
  <c r="S80" i="19"/>
  <c r="U79" i="19"/>
  <c r="S79" i="19"/>
  <c r="U78" i="19"/>
  <c r="S78" i="19"/>
  <c r="U77" i="19"/>
  <c r="S77" i="19"/>
  <c r="U76" i="19"/>
  <c r="S76" i="19"/>
  <c r="U75" i="19"/>
  <c r="S75" i="19"/>
  <c r="U74" i="19"/>
  <c r="S74" i="19"/>
  <c r="U73" i="19"/>
  <c r="S73" i="19"/>
  <c r="U72" i="19"/>
  <c r="S72" i="19"/>
  <c r="U71" i="19"/>
  <c r="S71" i="19"/>
  <c r="U70" i="19"/>
  <c r="S70" i="19"/>
  <c r="U69" i="19"/>
  <c r="S69" i="19"/>
  <c r="U68" i="19"/>
  <c r="S68" i="19"/>
  <c r="U67" i="19"/>
  <c r="S67" i="19"/>
  <c r="U66" i="19"/>
  <c r="S66" i="19"/>
  <c r="U65" i="19"/>
  <c r="S65" i="19"/>
  <c r="U64" i="19"/>
  <c r="S64" i="19"/>
  <c r="U62" i="19"/>
  <c r="S62" i="19"/>
  <c r="U61" i="19"/>
  <c r="S61" i="19"/>
  <c r="U60" i="19"/>
  <c r="S60" i="19"/>
  <c r="U59" i="19"/>
  <c r="S59" i="19"/>
  <c r="U58" i="19"/>
  <c r="S58" i="19"/>
  <c r="U57" i="19"/>
  <c r="S57" i="19"/>
  <c r="U55" i="19"/>
  <c r="S55" i="19"/>
  <c r="U54" i="19"/>
  <c r="S54" i="19"/>
  <c r="U53" i="19"/>
  <c r="S53" i="19"/>
  <c r="U52" i="19"/>
  <c r="S52" i="19"/>
  <c r="U51" i="19"/>
  <c r="S51" i="19"/>
  <c r="U50" i="19"/>
  <c r="S50" i="19"/>
  <c r="U49" i="19"/>
  <c r="S49" i="19"/>
  <c r="U48" i="19"/>
  <c r="S48" i="19"/>
  <c r="U47" i="19"/>
  <c r="S47" i="19"/>
  <c r="U46" i="19"/>
  <c r="S46" i="19"/>
  <c r="U45" i="19"/>
  <c r="S45" i="19"/>
  <c r="U44" i="19"/>
  <c r="S44" i="19"/>
  <c r="U43" i="19"/>
  <c r="S43" i="19"/>
  <c r="U42" i="19"/>
  <c r="S42" i="19"/>
  <c r="U41" i="19"/>
  <c r="S41" i="19"/>
  <c r="U40" i="19"/>
  <c r="S40" i="19"/>
  <c r="U38" i="19"/>
  <c r="S38" i="19"/>
  <c r="U37" i="19"/>
  <c r="S37" i="19"/>
  <c r="U36" i="19"/>
  <c r="S36" i="19"/>
  <c r="U35" i="19"/>
  <c r="S35" i="19"/>
  <c r="U34" i="19"/>
  <c r="S34" i="19"/>
  <c r="U33" i="19"/>
  <c r="S33" i="19"/>
  <c r="U32" i="19"/>
  <c r="S32" i="19"/>
  <c r="U31" i="19"/>
  <c r="S31" i="19"/>
  <c r="U30" i="19"/>
  <c r="S30" i="19"/>
  <c r="U29" i="19"/>
  <c r="S29" i="19"/>
  <c r="U27" i="19"/>
  <c r="S27" i="19"/>
  <c r="U26" i="19"/>
  <c r="S26" i="19"/>
  <c r="U25" i="19"/>
  <c r="S25" i="19"/>
  <c r="U24" i="19"/>
  <c r="S24" i="19"/>
  <c r="U23" i="19"/>
  <c r="S23" i="19"/>
  <c r="U22" i="19"/>
  <c r="S22" i="19"/>
  <c r="U20" i="19"/>
  <c r="S20" i="19"/>
  <c r="U19" i="19"/>
  <c r="S19" i="19"/>
  <c r="U18" i="19"/>
  <c r="S18" i="19"/>
  <c r="U17" i="19"/>
  <c r="S17" i="19"/>
  <c r="U16" i="19"/>
  <c r="S16" i="19"/>
  <c r="U15" i="19"/>
  <c r="S15" i="19"/>
  <c r="U14" i="19"/>
  <c r="S14" i="19"/>
  <c r="U13" i="19"/>
  <c r="S13" i="19"/>
  <c r="U12" i="19"/>
  <c r="S12" i="19"/>
  <c r="U11" i="19"/>
  <c r="S11" i="19"/>
  <c r="U10" i="19"/>
  <c r="S10" i="19"/>
  <c r="U9" i="19"/>
  <c r="S9" i="19"/>
  <c r="U8" i="19"/>
  <c r="S8" i="19"/>
  <c r="U7" i="19"/>
  <c r="S7" i="19"/>
  <c r="U6" i="19"/>
  <c r="S6" i="19"/>
  <c r="U173" i="19"/>
  <c r="S173" i="19"/>
  <c r="U57" i="18"/>
  <c r="S57" i="18"/>
  <c r="U56" i="18"/>
  <c r="S56" i="18"/>
  <c r="U55" i="18"/>
  <c r="S55" i="18"/>
  <c r="U54" i="18"/>
  <c r="S54" i="18"/>
  <c r="U53" i="18"/>
  <c r="S53" i="18"/>
  <c r="U52" i="18"/>
  <c r="S52" i="18"/>
  <c r="U51" i="18"/>
  <c r="S51" i="18"/>
  <c r="U50" i="18"/>
  <c r="S50" i="18"/>
  <c r="U49" i="18"/>
  <c r="S49" i="18"/>
  <c r="U48" i="18"/>
  <c r="S48" i="18"/>
  <c r="U47" i="18"/>
  <c r="S47" i="18"/>
  <c r="U46" i="18"/>
  <c r="S46" i="18"/>
  <c r="U45" i="18"/>
  <c r="S45" i="18"/>
  <c r="U44" i="18"/>
  <c r="S44" i="18"/>
  <c r="U43" i="18"/>
  <c r="S43" i="18"/>
  <c r="U42" i="18"/>
  <c r="S42" i="18"/>
  <c r="U41" i="18"/>
  <c r="S41" i="18"/>
  <c r="U40" i="18"/>
  <c r="S40" i="18"/>
  <c r="U39" i="18"/>
  <c r="S39" i="18"/>
  <c r="U38" i="18"/>
  <c r="S38" i="18"/>
  <c r="U37" i="18"/>
  <c r="S37" i="18"/>
  <c r="U36" i="18"/>
  <c r="S36" i="18"/>
  <c r="U35" i="18"/>
  <c r="S35" i="18"/>
  <c r="U34" i="18"/>
  <c r="S34" i="18"/>
  <c r="U33" i="18"/>
  <c r="S33" i="18"/>
  <c r="U32" i="18"/>
  <c r="S32" i="18"/>
  <c r="U31" i="18"/>
  <c r="S31" i="18"/>
  <c r="U30" i="18"/>
  <c r="S30" i="18"/>
  <c r="U29" i="18"/>
  <c r="S29" i="18"/>
  <c r="U28" i="18"/>
  <c r="S28" i="18"/>
  <c r="U27" i="18"/>
  <c r="S27" i="18"/>
  <c r="U26" i="18"/>
  <c r="S26" i="18"/>
  <c r="U25" i="18"/>
  <c r="S25" i="18"/>
  <c r="U24" i="18"/>
  <c r="S24" i="18"/>
  <c r="U23" i="18"/>
  <c r="S23" i="18"/>
  <c r="U22" i="18"/>
  <c r="S22" i="18"/>
  <c r="U21" i="18"/>
  <c r="S21" i="18"/>
  <c r="U20" i="18"/>
  <c r="S20" i="18"/>
  <c r="U19" i="18"/>
  <c r="S19" i="18"/>
  <c r="U18" i="18"/>
  <c r="S18" i="18"/>
  <c r="U17" i="18"/>
  <c r="S17" i="18"/>
  <c r="U16" i="18"/>
  <c r="S16" i="18"/>
  <c r="U15" i="18"/>
  <c r="S15" i="18"/>
  <c r="U14" i="18"/>
  <c r="S14" i="18"/>
  <c r="U13" i="18"/>
  <c r="S13" i="18"/>
  <c r="U12" i="18"/>
  <c r="S12" i="18"/>
  <c r="U11" i="18"/>
  <c r="S11" i="18"/>
  <c r="U10" i="18"/>
  <c r="S10" i="18"/>
  <c r="U9" i="18"/>
  <c r="S9" i="18"/>
  <c r="U8" i="18"/>
  <c r="S8" i="18"/>
  <c r="U7" i="18"/>
  <c r="S7" i="18"/>
  <c r="U6" i="18"/>
  <c r="S6" i="18"/>
  <c r="U23" i="16"/>
  <c r="T23" i="16"/>
  <c r="S23" i="16"/>
  <c r="U22" i="16"/>
  <c r="T22" i="16" s="1"/>
  <c r="S22" i="16"/>
  <c r="U21" i="16"/>
  <c r="T21" i="16" s="1"/>
  <c r="S21" i="16"/>
  <c r="U20" i="16"/>
  <c r="S20" i="16"/>
  <c r="U19" i="16"/>
  <c r="S19" i="16"/>
  <c r="U18" i="16"/>
  <c r="S18" i="16"/>
  <c r="U17" i="16"/>
  <c r="S17" i="16"/>
  <c r="U16" i="16"/>
  <c r="S16" i="16"/>
  <c r="U15" i="16"/>
  <c r="T15" i="16" s="1"/>
  <c r="S15" i="16"/>
  <c r="U14" i="16"/>
  <c r="S14" i="16"/>
  <c r="U13" i="16"/>
  <c r="S13" i="16"/>
  <c r="U12" i="16"/>
  <c r="S12" i="16"/>
  <c r="U11" i="16"/>
  <c r="S11" i="16"/>
  <c r="U10" i="16"/>
  <c r="S10" i="16"/>
  <c r="U9" i="16"/>
  <c r="S9" i="16"/>
  <c r="U8" i="16"/>
  <c r="S8" i="16"/>
  <c r="U7" i="16"/>
  <c r="T7" i="16" s="1"/>
  <c r="S7" i="16"/>
  <c r="U6" i="16"/>
  <c r="S6" i="16"/>
  <c r="U27" i="15"/>
  <c r="S27" i="15"/>
  <c r="U26" i="15"/>
  <c r="S26" i="15"/>
  <c r="U25" i="15"/>
  <c r="S25" i="15"/>
  <c r="U24" i="15"/>
  <c r="S24" i="15"/>
  <c r="U23" i="15"/>
  <c r="S23" i="15"/>
  <c r="U22" i="15"/>
  <c r="S22" i="15"/>
  <c r="U21" i="15"/>
  <c r="S21" i="15"/>
  <c r="U20" i="15"/>
  <c r="S20" i="15"/>
  <c r="U19" i="15"/>
  <c r="S19" i="15"/>
  <c r="U18" i="15"/>
  <c r="S18" i="15"/>
  <c r="U17" i="15"/>
  <c r="S17" i="15"/>
  <c r="U16" i="15"/>
  <c r="S16" i="15"/>
  <c r="U15" i="15"/>
  <c r="S15" i="15"/>
  <c r="U14" i="15"/>
  <c r="S14" i="15"/>
  <c r="U13" i="15"/>
  <c r="T13" i="15"/>
  <c r="S13" i="15"/>
  <c r="U12" i="15"/>
  <c r="T12" i="15" s="1"/>
  <c r="S12" i="15"/>
  <c r="U11" i="15"/>
  <c r="T11" i="15" s="1"/>
  <c r="S11" i="15"/>
  <c r="U10" i="15"/>
  <c r="S10" i="15"/>
  <c r="U9" i="15"/>
  <c r="S9" i="15"/>
  <c r="U8" i="15"/>
  <c r="S8" i="15"/>
  <c r="U7" i="15"/>
  <c r="S7" i="15"/>
  <c r="U52" i="17"/>
  <c r="T52" i="17" s="1"/>
  <c r="S52" i="17"/>
  <c r="U51" i="17"/>
  <c r="S51" i="17"/>
  <c r="U50" i="17"/>
  <c r="S50" i="17"/>
  <c r="U49" i="17"/>
  <c r="S49" i="17"/>
  <c r="U48" i="17"/>
  <c r="T48" i="17" s="1"/>
  <c r="S48" i="17"/>
  <c r="U47" i="17"/>
  <c r="S47" i="17"/>
  <c r="U46" i="17"/>
  <c r="S46" i="17"/>
  <c r="U45" i="17"/>
  <c r="S45" i="17"/>
  <c r="U44" i="17"/>
  <c r="S44" i="17"/>
  <c r="U43" i="17"/>
  <c r="S43" i="17"/>
  <c r="U42" i="17"/>
  <c r="S42" i="17"/>
  <c r="U41" i="17"/>
  <c r="S41" i="17"/>
  <c r="U40" i="17"/>
  <c r="T40" i="17"/>
  <c r="S40" i="17"/>
  <c r="U39" i="17"/>
  <c r="S39" i="17"/>
  <c r="U38" i="17"/>
  <c r="S38" i="17"/>
  <c r="U37" i="17"/>
  <c r="S37" i="17"/>
  <c r="U36" i="17"/>
  <c r="T36" i="17" s="1"/>
  <c r="S36" i="17"/>
  <c r="U35" i="17"/>
  <c r="S35" i="17"/>
  <c r="U34" i="17"/>
  <c r="S34" i="17"/>
  <c r="U33" i="17"/>
  <c r="S33" i="17"/>
  <c r="U32" i="17"/>
  <c r="T32" i="17" s="1"/>
  <c r="S32" i="17"/>
  <c r="U31" i="17"/>
  <c r="S31" i="17"/>
  <c r="U30" i="17"/>
  <c r="S30" i="17"/>
  <c r="U29" i="17"/>
  <c r="S29" i="17"/>
  <c r="U28" i="17"/>
  <c r="S28" i="17"/>
  <c r="U26" i="17"/>
  <c r="S26" i="17"/>
  <c r="U25" i="17"/>
  <c r="S25" i="17"/>
  <c r="U24" i="17"/>
  <c r="T24" i="17"/>
  <c r="S24" i="17"/>
  <c r="U23" i="17"/>
  <c r="S23" i="17"/>
  <c r="U22" i="17"/>
  <c r="S22" i="17"/>
  <c r="U21" i="17"/>
  <c r="S21" i="17"/>
  <c r="U20" i="17"/>
  <c r="S20" i="17"/>
  <c r="U19" i="17"/>
  <c r="S19" i="17"/>
  <c r="U18" i="17"/>
  <c r="S18" i="17"/>
  <c r="U17" i="17"/>
  <c r="S17" i="17"/>
  <c r="U16" i="17"/>
  <c r="T16" i="17" s="1"/>
  <c r="S16" i="17"/>
  <c r="U15" i="17"/>
  <c r="S15" i="17"/>
  <c r="U14" i="17"/>
  <c r="S14" i="17"/>
  <c r="U13" i="17"/>
  <c r="S13" i="17"/>
  <c r="U12" i="17"/>
  <c r="S12" i="17"/>
  <c r="U11" i="17"/>
  <c r="S11" i="17"/>
  <c r="U10" i="17"/>
  <c r="S10" i="17"/>
  <c r="U9" i="17"/>
  <c r="S9" i="17"/>
  <c r="U8" i="17"/>
  <c r="S8" i="17"/>
  <c r="U7" i="17"/>
  <c r="S7" i="17"/>
  <c r="U6" i="17"/>
  <c r="S6" i="17"/>
  <c r="U6" i="15"/>
  <c r="S6" i="15"/>
  <c r="N139" i="19"/>
  <c r="N138" i="19"/>
  <c r="N140" i="19"/>
  <c r="N142" i="19"/>
  <c r="N150" i="19"/>
  <c r="N103" i="19"/>
  <c r="D103" i="19"/>
  <c r="H103" i="19"/>
  <c r="D54" i="19"/>
  <c r="N54" i="19"/>
  <c r="H54" i="19"/>
  <c r="J112" i="19"/>
  <c r="J111" i="19"/>
  <c r="T12" i="17" l="1"/>
  <c r="V12" i="17"/>
  <c r="W12" i="17" s="1"/>
  <c r="X12" i="17" s="1"/>
  <c r="Y12" i="17" s="1"/>
  <c r="V32" i="17"/>
  <c r="T17" i="15"/>
  <c r="V17" i="15"/>
  <c r="T8" i="17"/>
  <c r="V8" i="17" s="1"/>
  <c r="T20" i="17"/>
  <c r="V20" i="17"/>
  <c r="W20" i="17" s="1"/>
  <c r="X20" i="17" s="1"/>
  <c r="Y20" i="17" s="1"/>
  <c r="V24" i="17"/>
  <c r="W24" i="17" s="1"/>
  <c r="X24" i="17" s="1"/>
  <c r="Y24" i="17" s="1"/>
  <c r="T28" i="17"/>
  <c r="T44" i="17"/>
  <c r="V52" i="17"/>
  <c r="V13" i="15"/>
  <c r="T21" i="15"/>
  <c r="V21" i="15" s="1"/>
  <c r="T27" i="15"/>
  <c r="T6" i="16"/>
  <c r="T11" i="16"/>
  <c r="V11" i="16" s="1"/>
  <c r="W11" i="16" s="1"/>
  <c r="X11" i="16" s="1"/>
  <c r="V15" i="16"/>
  <c r="T37" i="18"/>
  <c r="T53" i="18"/>
  <c r="T48" i="19"/>
  <c r="T170" i="19"/>
  <c r="T63" i="19"/>
  <c r="T148" i="19"/>
  <c r="T153" i="19"/>
  <c r="T29" i="20"/>
  <c r="V29" i="20" s="1"/>
  <c r="W29" i="20" s="1"/>
  <c r="X29" i="20" s="1"/>
  <c r="Y29" i="20" s="1"/>
  <c r="T35" i="20"/>
  <c r="V35" i="20" s="1"/>
  <c r="W35" i="20" s="1"/>
  <c r="X35" i="20" s="1"/>
  <c r="Y35" i="20" s="1"/>
  <c r="T36" i="20"/>
  <c r="T61" i="20"/>
  <c r="V61" i="20" s="1"/>
  <c r="T67" i="20"/>
  <c r="V67" i="20" s="1"/>
  <c r="T68" i="20"/>
  <c r="V68" i="20" s="1"/>
  <c r="T93" i="20"/>
  <c r="T97" i="20"/>
  <c r="V97" i="20" s="1"/>
  <c r="T99" i="20"/>
  <c r="V99" i="20" s="1"/>
  <c r="T100" i="20"/>
  <c r="V100" i="20" s="1"/>
  <c r="T125" i="20"/>
  <c r="T129" i="20"/>
  <c r="T131" i="20"/>
  <c r="T132" i="20"/>
  <c r="V16" i="17"/>
  <c r="V28" i="17"/>
  <c r="V27" i="15"/>
  <c r="V37" i="18"/>
  <c r="V53" i="18"/>
  <c r="T228" i="20"/>
  <c r="V228" i="20" s="1"/>
  <c r="W228" i="20" s="1"/>
  <c r="X228" i="20" s="1"/>
  <c r="T229" i="20"/>
  <c r="V229" i="20" s="1"/>
  <c r="W229" i="20" s="1"/>
  <c r="X229" i="20" s="1"/>
  <c r="T230" i="20"/>
  <c r="V230" i="20" s="1"/>
  <c r="W230" i="20" s="1"/>
  <c r="X230" i="20" s="1"/>
  <c r="T231" i="20"/>
  <c r="V231" i="20" s="1"/>
  <c r="W231" i="20" s="1"/>
  <c r="X231" i="20" s="1"/>
  <c r="T232" i="20"/>
  <c r="V232" i="20" s="1"/>
  <c r="W232" i="20" s="1"/>
  <c r="X232" i="20" s="1"/>
  <c r="T233" i="20"/>
  <c r="V233" i="20" s="1"/>
  <c r="W233" i="20" s="1"/>
  <c r="X233" i="20" s="1"/>
  <c r="T234" i="20"/>
  <c r="V234" i="20" s="1"/>
  <c r="W234" i="20" s="1"/>
  <c r="X234" i="20" s="1"/>
  <c r="T235" i="20"/>
  <c r="V235" i="20" s="1"/>
  <c r="W235" i="20" s="1"/>
  <c r="X235" i="20" s="1"/>
  <c r="T236" i="20"/>
  <c r="V236" i="20" s="1"/>
  <c r="W236" i="20" s="1"/>
  <c r="X236" i="20" s="1"/>
  <c r="T237" i="20"/>
  <c r="V237" i="20" s="1"/>
  <c r="W237" i="20" s="1"/>
  <c r="X237" i="20" s="1"/>
  <c r="T238" i="20"/>
  <c r="V238" i="20" s="1"/>
  <c r="W238" i="20" s="1"/>
  <c r="X238" i="20" s="1"/>
  <c r="T239" i="20"/>
  <c r="V239" i="20" s="1"/>
  <c r="W239" i="20" s="1"/>
  <c r="X239" i="20" s="1"/>
  <c r="T240" i="20"/>
  <c r="V240" i="20" s="1"/>
  <c r="W240" i="20" s="1"/>
  <c r="X240" i="20" s="1"/>
  <c r="T241" i="20"/>
  <c r="V241" i="20" s="1"/>
  <c r="W241" i="20" s="1"/>
  <c r="X241" i="20" s="1"/>
  <c r="T242" i="20"/>
  <c r="V242" i="20" s="1"/>
  <c r="W242" i="20" s="1"/>
  <c r="X242" i="20" s="1"/>
  <c r="T243" i="20"/>
  <c r="V243" i="20" s="1"/>
  <c r="W243" i="20" s="1"/>
  <c r="X243" i="20" s="1"/>
  <c r="T244" i="20"/>
  <c r="V244" i="20" s="1"/>
  <c r="W244" i="20" s="1"/>
  <c r="X244" i="20" s="1"/>
  <c r="T245" i="20"/>
  <c r="V245" i="20" s="1"/>
  <c r="W245" i="20" s="1"/>
  <c r="X245" i="20" s="1"/>
  <c r="T246" i="20"/>
  <c r="V246" i="20" s="1"/>
  <c r="W246" i="20" s="1"/>
  <c r="X246" i="20" s="1"/>
  <c r="T247" i="20"/>
  <c r="V247" i="20" s="1"/>
  <c r="W247" i="20" s="1"/>
  <c r="X247" i="20" s="1"/>
  <c r="T271" i="20"/>
  <c r="V271" i="20" s="1"/>
  <c r="W271" i="20" s="1"/>
  <c r="X271" i="20" s="1"/>
  <c r="Y271" i="20" s="1"/>
  <c r="T275" i="20"/>
  <c r="V275" i="20" s="1"/>
  <c r="T281" i="20"/>
  <c r="V281" i="20" s="1"/>
  <c r="T303" i="20"/>
  <c r="V303" i="20" s="1"/>
  <c r="W303" i="20" s="1"/>
  <c r="X303" i="20" s="1"/>
  <c r="Y303" i="20" s="1"/>
  <c r="T307" i="20"/>
  <c r="V307" i="20" s="1"/>
  <c r="W307" i="20" s="1"/>
  <c r="X307" i="20" s="1"/>
  <c r="Y307" i="20" s="1"/>
  <c r="T313" i="20"/>
  <c r="V313" i="20" s="1"/>
  <c r="T337" i="20"/>
  <c r="V337" i="20" s="1"/>
  <c r="T341" i="20"/>
  <c r="V341" i="20" s="1"/>
  <c r="T347" i="20"/>
  <c r="V347" i="20" s="1"/>
  <c r="T369" i="20"/>
  <c r="V369" i="20" s="1"/>
  <c r="T373" i="20"/>
  <c r="V373" i="20" s="1"/>
  <c r="T379" i="20"/>
  <c r="V379" i="20" s="1"/>
  <c r="T385" i="20"/>
  <c r="V385" i="20" s="1"/>
  <c r="T401" i="20"/>
  <c r="T405" i="20"/>
  <c r="V405" i="20" s="1"/>
  <c r="T411" i="20"/>
  <c r="V411" i="20" s="1"/>
  <c r="T433" i="20"/>
  <c r="V433" i="20" s="1"/>
  <c r="W433" i="20" s="1"/>
  <c r="X433" i="20" s="1"/>
  <c r="T437" i="20"/>
  <c r="V437" i="20" s="1"/>
  <c r="W437" i="20" s="1"/>
  <c r="X437" i="20" s="1"/>
  <c r="T443" i="20"/>
  <c r="V443" i="20" s="1"/>
  <c r="W443" i="20" s="1"/>
  <c r="X443" i="20" s="1"/>
  <c r="Y443" i="20" s="1"/>
  <c r="T465" i="20"/>
  <c r="V465" i="20" s="1"/>
  <c r="W465" i="20" s="1"/>
  <c r="X465" i="20" s="1"/>
  <c r="T475" i="20"/>
  <c r="V475" i="20" s="1"/>
  <c r="T477" i="20"/>
  <c r="V477" i="20" s="1"/>
  <c r="T501" i="20"/>
  <c r="V501" i="20" s="1"/>
  <c r="T505" i="20"/>
  <c r="V505" i="20" s="1"/>
  <c r="T511" i="20"/>
  <c r="V511" i="20" s="1"/>
  <c r="T532" i="20"/>
  <c r="V532" i="20" s="1"/>
  <c r="T536" i="20"/>
  <c r="V536" i="20" s="1"/>
  <c r="T542" i="20"/>
  <c r="V542" i="20" s="1"/>
  <c r="T568" i="20"/>
  <c r="V568" i="20" s="1"/>
  <c r="T596" i="20"/>
  <c r="V596" i="20" s="1"/>
  <c r="W596" i="20" s="1"/>
  <c r="X596" i="20" s="1"/>
  <c r="Y596" i="20" s="1"/>
  <c r="T618" i="20"/>
  <c r="V618" i="20" s="1"/>
  <c r="W618" i="20" s="1"/>
  <c r="X618" i="20" s="1"/>
  <c r="Y618" i="20" s="1"/>
  <c r="T622" i="20"/>
  <c r="T628" i="20"/>
  <c r="T650" i="20"/>
  <c r="T654" i="20"/>
  <c r="V654" i="20" s="1"/>
  <c r="W654" i="20" s="1"/>
  <c r="X654" i="20" s="1"/>
  <c r="Y654" i="20" s="1"/>
  <c r="T660" i="20"/>
  <c r="V660" i="20" s="1"/>
  <c r="W660" i="20" s="1"/>
  <c r="X660" i="20" s="1"/>
  <c r="Y660" i="20" s="1"/>
  <c r="T682" i="20"/>
  <c r="V682" i="20" s="1"/>
  <c r="W682" i="20" s="1"/>
  <c r="X682" i="20" s="1"/>
  <c r="Y682" i="20" s="1"/>
  <c r="T8" i="21"/>
  <c r="V26" i="21"/>
  <c r="V30" i="21"/>
  <c r="V34" i="21"/>
  <c r="T42" i="21"/>
  <c r="T46" i="21"/>
  <c r="T52" i="21"/>
  <c r="V52" i="21"/>
  <c r="V58" i="21"/>
  <c r="V62" i="21"/>
  <c r="V66" i="21"/>
  <c r="T74" i="21"/>
  <c r="T78" i="21"/>
  <c r="T84" i="21"/>
  <c r="V84" i="21"/>
  <c r="V90" i="21"/>
  <c r="V94" i="21"/>
  <c r="V96" i="21"/>
  <c r="T106" i="21"/>
  <c r="T110" i="21"/>
  <c r="V14" i="22"/>
  <c r="V18" i="22"/>
  <c r="V22" i="22"/>
  <c r="T30" i="22"/>
  <c r="T34" i="22"/>
  <c r="V46" i="22"/>
  <c r="V50" i="22"/>
  <c r="V53" i="22"/>
  <c r="V54" i="22"/>
  <c r="T82" i="22"/>
  <c r="V82" i="22"/>
  <c r="W82" i="22" s="1"/>
  <c r="X82" i="22" s="1"/>
  <c r="Y82" i="22" s="1"/>
  <c r="V7" i="14"/>
  <c r="V8" i="14"/>
  <c r="V23" i="14"/>
  <c r="W15" i="16"/>
  <c r="X15" i="16" s="1"/>
  <c r="V8" i="21"/>
  <c r="V18" i="21"/>
  <c r="T36" i="21"/>
  <c r="V36" i="21"/>
  <c r="V42" i="21"/>
  <c r="V46" i="21"/>
  <c r="V50" i="21"/>
  <c r="T68" i="21"/>
  <c r="V68" i="21" s="1"/>
  <c r="V74" i="21"/>
  <c r="V78" i="21"/>
  <c r="V82" i="21"/>
  <c r="V106" i="21"/>
  <c r="V110" i="21"/>
  <c r="V112" i="21"/>
  <c r="V6" i="22"/>
  <c r="W6" i="22" s="1"/>
  <c r="X6" i="22" s="1"/>
  <c r="Y6" i="22" s="1"/>
  <c r="V30" i="22"/>
  <c r="V34" i="22"/>
  <c r="T58" i="22"/>
  <c r="V58" i="22"/>
  <c r="T66" i="22"/>
  <c r="V66" i="22"/>
  <c r="V77" i="22"/>
  <c r="V78" i="22"/>
  <c r="T86" i="22"/>
  <c r="V86" i="22" s="1"/>
  <c r="V12" i="14"/>
  <c r="V15" i="14"/>
  <c r="V16" i="14"/>
  <c r="T20" i="14"/>
  <c r="V20" i="14" s="1"/>
  <c r="T31" i="19"/>
  <c r="T40" i="19"/>
  <c r="T44" i="19"/>
  <c r="T46" i="19"/>
  <c r="V31" i="19"/>
  <c r="W31" i="19" s="1"/>
  <c r="X31" i="19" s="1"/>
  <c r="V40" i="19"/>
  <c r="W40" i="19" s="1"/>
  <c r="X40" i="19" s="1"/>
  <c r="V44" i="19"/>
  <c r="W44" i="19" s="1"/>
  <c r="X44" i="19" s="1"/>
  <c r="V46" i="19"/>
  <c r="W46" i="19" s="1"/>
  <c r="X46" i="19" s="1"/>
  <c r="V48" i="19"/>
  <c r="W48" i="19" s="1"/>
  <c r="X48" i="19" s="1"/>
  <c r="V170" i="19"/>
  <c r="V63" i="19"/>
  <c r="V148" i="19"/>
  <c r="V153" i="19"/>
  <c r="T116" i="19"/>
  <c r="V116" i="19" s="1"/>
  <c r="T152" i="19"/>
  <c r="V152" i="19" s="1"/>
  <c r="T13" i="19"/>
  <c r="V13" i="19" s="1"/>
  <c r="T82" i="19"/>
  <c r="V82" i="19" s="1"/>
  <c r="T98" i="19"/>
  <c r="V98" i="19" s="1"/>
  <c r="T107" i="19"/>
  <c r="V107" i="19" s="1"/>
  <c r="T114" i="19"/>
  <c r="V114" i="19" s="1"/>
  <c r="T9" i="19"/>
  <c r="V9" i="19" s="1"/>
  <c r="T11" i="19"/>
  <c r="V11" i="19" s="1"/>
  <c r="T66" i="19"/>
  <c r="T74" i="19"/>
  <c r="V74" i="19" s="1"/>
  <c r="T78" i="19"/>
  <c r="V78" i="19" s="1"/>
  <c r="T80" i="19"/>
  <c r="V80" i="19" s="1"/>
  <c r="T132" i="19"/>
  <c r="V132" i="19" s="1"/>
  <c r="T141" i="19"/>
  <c r="V141" i="19" s="1"/>
  <c r="T150" i="19"/>
  <c r="V150" i="19" s="1"/>
  <c r="W150" i="19" s="1"/>
  <c r="X150" i="19" s="1"/>
  <c r="T151" i="19"/>
  <c r="T22" i="19"/>
  <c r="V22" i="19" s="1"/>
  <c r="T26" i="19"/>
  <c r="V26" i="19" s="1"/>
  <c r="W26" i="19" s="1"/>
  <c r="X26" i="19" s="1"/>
  <c r="Y26" i="19" s="1"/>
  <c r="T29" i="19"/>
  <c r="V29" i="19" s="1"/>
  <c r="W29" i="19" s="1"/>
  <c r="X29" i="19" s="1"/>
  <c r="T57" i="19"/>
  <c r="V57" i="19" s="1"/>
  <c r="T61" i="19"/>
  <c r="V61" i="19" s="1"/>
  <c r="T64" i="19"/>
  <c r="V64" i="19" s="1"/>
  <c r="T90" i="19"/>
  <c r="V90" i="19" s="1"/>
  <c r="T96" i="19"/>
  <c r="V96" i="19" s="1"/>
  <c r="T124" i="19"/>
  <c r="V124" i="19" s="1"/>
  <c r="T130" i="19"/>
  <c r="V130" i="19" s="1"/>
  <c r="T131" i="19"/>
  <c r="V131" i="19" s="1"/>
  <c r="T161" i="19"/>
  <c r="V161" i="19" s="1"/>
  <c r="T167" i="19"/>
  <c r="V167" i="19" s="1"/>
  <c r="W167" i="19" s="1"/>
  <c r="X167" i="19" s="1"/>
  <c r="Y167" i="19" s="1"/>
  <c r="T169" i="19"/>
  <c r="T21" i="18"/>
  <c r="V21" i="18" s="1"/>
  <c r="T29" i="18"/>
  <c r="V29" i="18" s="1"/>
  <c r="T33" i="18"/>
  <c r="V33" i="18" s="1"/>
  <c r="T35" i="18"/>
  <c r="V35" i="18" s="1"/>
  <c r="T36" i="18"/>
  <c r="V36" i="18" s="1"/>
  <c r="T9" i="18"/>
  <c r="V9" i="18" s="1"/>
  <c r="T13" i="18"/>
  <c r="V13" i="18" s="1"/>
  <c r="T19" i="18"/>
  <c r="V19" i="18" s="1"/>
  <c r="T20" i="18"/>
  <c r="V20" i="18" s="1"/>
  <c r="T25" i="18"/>
  <c r="V25" i="18" s="1"/>
  <c r="T45" i="18"/>
  <c r="V45" i="18" s="1"/>
  <c r="T49" i="18"/>
  <c r="V49" i="18" s="1"/>
  <c r="T51" i="18"/>
  <c r="V51" i="18" s="1"/>
  <c r="T52" i="18"/>
  <c r="V52" i="18" s="1"/>
  <c r="T248" i="20"/>
  <c r="V248" i="20" s="1"/>
  <c r="W248" i="20" s="1"/>
  <c r="X248" i="20" s="1"/>
  <c r="T249" i="20"/>
  <c r="V249" i="20" s="1"/>
  <c r="W249" i="20" s="1"/>
  <c r="X249" i="20" s="1"/>
  <c r="T250" i="20"/>
  <c r="V250" i="20" s="1"/>
  <c r="W250" i="20" s="1"/>
  <c r="X250" i="20" s="1"/>
  <c r="T251" i="20"/>
  <c r="V251" i="20" s="1"/>
  <c r="W251" i="20" s="1"/>
  <c r="X251" i="20" s="1"/>
  <c r="T252" i="20"/>
  <c r="V252" i="20" s="1"/>
  <c r="W252" i="20" s="1"/>
  <c r="X252" i="20" s="1"/>
  <c r="T253" i="20"/>
  <c r="V253" i="20" s="1"/>
  <c r="T254" i="20"/>
  <c r="V254" i="20" s="1"/>
  <c r="T255" i="20"/>
  <c r="V255" i="20" s="1"/>
  <c r="W255" i="20" s="1"/>
  <c r="X255" i="20" s="1"/>
  <c r="Y255" i="20" s="1"/>
  <c r="T273" i="20"/>
  <c r="V273" i="20" s="1"/>
  <c r="T289" i="20"/>
  <c r="V289" i="20" s="1"/>
  <c r="T305" i="20"/>
  <c r="V305" i="20" s="1"/>
  <c r="T321" i="20"/>
  <c r="V321" i="20" s="1"/>
  <c r="T333" i="20"/>
  <c r="V333" i="20" s="1"/>
  <c r="T339" i="20"/>
  <c r="V339" i="20" s="1"/>
  <c r="W339" i="20" s="1"/>
  <c r="X339" i="20" s="1"/>
  <c r="Y339" i="20" s="1"/>
  <c r="T349" i="20"/>
  <c r="V349" i="20" s="1"/>
  <c r="T355" i="20"/>
  <c r="V355" i="20" s="1"/>
  <c r="T365" i="20"/>
  <c r="V365" i="20" s="1"/>
  <c r="T371" i="20"/>
  <c r="V371" i="20" s="1"/>
  <c r="T381" i="20"/>
  <c r="V381" i="20" s="1"/>
  <c r="T387" i="20"/>
  <c r="V387" i="20" s="1"/>
  <c r="T397" i="20"/>
  <c r="V397" i="20" s="1"/>
  <c r="W397" i="20" s="1"/>
  <c r="X397" i="20" s="1"/>
  <c r="Y397" i="20" s="1"/>
  <c r="T403" i="20"/>
  <c r="V403" i="20" s="1"/>
  <c r="W403" i="20" s="1"/>
  <c r="X403" i="20" s="1"/>
  <c r="Y403" i="20" s="1"/>
  <c r="T417" i="20"/>
  <c r="V417" i="20" s="1"/>
  <c r="W417" i="20" s="1"/>
  <c r="X417" i="20" s="1"/>
  <c r="T449" i="20"/>
  <c r="V449" i="20" s="1"/>
  <c r="T35" i="17"/>
  <c r="T43" i="17"/>
  <c r="V43" i="17" s="1"/>
  <c r="T51" i="17"/>
  <c r="T9" i="15"/>
  <c r="V9" i="15" s="1"/>
  <c r="T19" i="15"/>
  <c r="V19" i="15" s="1"/>
  <c r="T20" i="15"/>
  <c r="V20" i="15" s="1"/>
  <c r="T25" i="15"/>
  <c r="T13" i="16"/>
  <c r="V13" i="16" s="1"/>
  <c r="W13" i="16" s="1"/>
  <c r="X13" i="16" s="1"/>
  <c r="T14" i="16"/>
  <c r="V14" i="16" s="1"/>
  <c r="W14" i="16" s="1"/>
  <c r="X14" i="16" s="1"/>
  <c r="T19" i="16"/>
  <c r="T11" i="18"/>
  <c r="V11" i="18" s="1"/>
  <c r="T12" i="18"/>
  <c r="V12" i="18" s="1"/>
  <c r="T17" i="18"/>
  <c r="V17" i="18" s="1"/>
  <c r="T27" i="18"/>
  <c r="V27" i="18" s="1"/>
  <c r="T28" i="18"/>
  <c r="V28" i="18" s="1"/>
  <c r="T41" i="18"/>
  <c r="V41" i="18" s="1"/>
  <c r="T43" i="18"/>
  <c r="T44" i="18"/>
  <c r="T57" i="18"/>
  <c r="V57" i="18" s="1"/>
  <c r="T173" i="19"/>
  <c r="V173" i="19" s="1"/>
  <c r="T17" i="19"/>
  <c r="V17" i="19" s="1"/>
  <c r="T19" i="19"/>
  <c r="V19" i="19" s="1"/>
  <c r="T35" i="19"/>
  <c r="V35" i="19" s="1"/>
  <c r="W35" i="19" s="1"/>
  <c r="X35" i="19" s="1"/>
  <c r="T37" i="19"/>
  <c r="V37" i="19" s="1"/>
  <c r="W37" i="19" s="1"/>
  <c r="X37" i="19" s="1"/>
  <c r="T52" i="19"/>
  <c r="V52" i="19" s="1"/>
  <c r="W52" i="19" s="1"/>
  <c r="X52" i="19" s="1"/>
  <c r="T54" i="19"/>
  <c r="V54" i="19" s="1"/>
  <c r="W54" i="19" s="1"/>
  <c r="X54" i="19" s="1"/>
  <c r="T70" i="19"/>
  <c r="V70" i="19" s="1"/>
  <c r="T72" i="19"/>
  <c r="V72" i="19" s="1"/>
  <c r="T86" i="19"/>
  <c r="V86" i="19" s="1"/>
  <c r="T88" i="19"/>
  <c r="V88" i="19" s="1"/>
  <c r="T102" i="19"/>
  <c r="V102" i="19" s="1"/>
  <c r="T105" i="19"/>
  <c r="V105" i="19" s="1"/>
  <c r="T106" i="19"/>
  <c r="V106" i="19" s="1"/>
  <c r="T120" i="19"/>
  <c r="V120" i="19" s="1"/>
  <c r="T122" i="19"/>
  <c r="V122" i="19" s="1"/>
  <c r="T123" i="19"/>
  <c r="V123" i="19" s="1"/>
  <c r="T137" i="19"/>
  <c r="T139" i="19"/>
  <c r="V139" i="19" s="1"/>
  <c r="W139" i="19" s="1"/>
  <c r="X139" i="19" s="1"/>
  <c r="T140" i="19"/>
  <c r="V140" i="19" s="1"/>
  <c r="W140" i="19" s="1"/>
  <c r="X140" i="19" s="1"/>
  <c r="T157" i="19"/>
  <c r="V157" i="19" s="1"/>
  <c r="T159" i="19"/>
  <c r="V159" i="19" s="1"/>
  <c r="W159" i="19" s="1"/>
  <c r="X159" i="19" s="1"/>
  <c r="T160" i="19"/>
  <c r="V160" i="19" s="1"/>
  <c r="T21" i="19"/>
  <c r="V21" i="19" s="1"/>
  <c r="T39" i="19"/>
  <c r="V39" i="19" s="1"/>
  <c r="W39" i="19" s="1"/>
  <c r="X39" i="19" s="1"/>
  <c r="T56" i="19"/>
  <c r="V56" i="19" s="1"/>
  <c r="T9" i="20"/>
  <c r="T11" i="20"/>
  <c r="V11" i="20" s="1"/>
  <c r="W11" i="20" s="1"/>
  <c r="X11" i="20" s="1"/>
  <c r="Y11" i="20" s="1"/>
  <c r="T12" i="20"/>
  <c r="V12" i="20" s="1"/>
  <c r="W12" i="20" s="1"/>
  <c r="X12" i="20" s="1"/>
  <c r="Y12" i="20" s="1"/>
  <c r="T25" i="20"/>
  <c r="T27" i="20"/>
  <c r="V27" i="20" s="1"/>
  <c r="W27" i="20" s="1"/>
  <c r="X27" i="20" s="1"/>
  <c r="Y27" i="20" s="1"/>
  <c r="T28" i="20"/>
  <c r="V28" i="20" s="1"/>
  <c r="W28" i="20" s="1"/>
  <c r="X28" i="20" s="1"/>
  <c r="Y28" i="20" s="1"/>
  <c r="T41" i="20"/>
  <c r="V41" i="20" s="1"/>
  <c r="T43" i="20"/>
  <c r="V43" i="20" s="1"/>
  <c r="T44" i="20"/>
  <c r="V44" i="20" s="1"/>
  <c r="T57" i="20"/>
  <c r="V57" i="20" s="1"/>
  <c r="T59" i="20"/>
  <c r="T60" i="20"/>
  <c r="V60" i="20" s="1"/>
  <c r="W60" i="20" s="1"/>
  <c r="X60" i="20" s="1"/>
  <c r="Y60" i="20" s="1"/>
  <c r="T73" i="20"/>
  <c r="V73" i="20" s="1"/>
  <c r="T75" i="20"/>
  <c r="V75" i="20" s="1"/>
  <c r="T76" i="20"/>
  <c r="V76" i="20" s="1"/>
  <c r="T89" i="20"/>
  <c r="V89" i="20" s="1"/>
  <c r="T91" i="20"/>
  <c r="T92" i="20"/>
  <c r="T105" i="20"/>
  <c r="V105" i="20" s="1"/>
  <c r="T107" i="20"/>
  <c r="V107" i="20" s="1"/>
  <c r="T108" i="20"/>
  <c r="V108" i="20" s="1"/>
  <c r="T121" i="20"/>
  <c r="V121" i="20" s="1"/>
  <c r="W121" i="20" s="1"/>
  <c r="X121" i="20" s="1"/>
  <c r="Y121" i="20" s="1"/>
  <c r="T123" i="20"/>
  <c r="V123" i="20" s="1"/>
  <c r="W123" i="20" s="1"/>
  <c r="X123" i="20" s="1"/>
  <c r="Y123" i="20" s="1"/>
  <c r="T124" i="20"/>
  <c r="T137" i="20"/>
  <c r="T139" i="20"/>
  <c r="T140" i="20"/>
  <c r="V140" i="20" s="1"/>
  <c r="W140" i="20" s="1"/>
  <c r="X140" i="20" s="1"/>
  <c r="Y140" i="20" s="1"/>
  <c r="T413" i="20"/>
  <c r="V413" i="20" s="1"/>
  <c r="W413" i="20" s="1"/>
  <c r="X413" i="20" s="1"/>
  <c r="T419" i="20"/>
  <c r="V419" i="20" s="1"/>
  <c r="W419" i="20" s="1"/>
  <c r="X419" i="20" s="1"/>
  <c r="T429" i="20"/>
  <c r="V429" i="20" s="1"/>
  <c r="W429" i="20" s="1"/>
  <c r="X429" i="20" s="1"/>
  <c r="T435" i="20"/>
  <c r="V435" i="20" s="1"/>
  <c r="W435" i="20" s="1"/>
  <c r="X435" i="20" s="1"/>
  <c r="T445" i="20"/>
  <c r="V445" i="20" s="1"/>
  <c r="W445" i="20" s="1"/>
  <c r="X445" i="20" s="1"/>
  <c r="Y445" i="20" s="1"/>
  <c r="T451" i="20"/>
  <c r="V451" i="20" s="1"/>
  <c r="W451" i="20" s="1"/>
  <c r="X451" i="20" s="1"/>
  <c r="T467" i="20"/>
  <c r="V467" i="20" s="1"/>
  <c r="W467" i="20" s="1"/>
  <c r="X467" i="20" s="1"/>
  <c r="T469" i="20"/>
  <c r="V469" i="20" s="1"/>
  <c r="W469" i="20" s="1"/>
  <c r="X469" i="20" s="1"/>
  <c r="T487" i="20"/>
  <c r="V487" i="20" s="1"/>
  <c r="T497" i="20"/>
  <c r="V497" i="20" s="1"/>
  <c r="T503" i="20"/>
  <c r="V503" i="20" s="1"/>
  <c r="T513" i="20"/>
  <c r="V513" i="20" s="1"/>
  <c r="T518" i="20"/>
  <c r="V518" i="20" s="1"/>
  <c r="T528" i="20"/>
  <c r="V528" i="20" s="1"/>
  <c r="T534" i="20"/>
  <c r="V534" i="20" s="1"/>
  <c r="T544" i="20"/>
  <c r="V544" i="20" s="1"/>
  <c r="T550" i="20"/>
  <c r="V550" i="20" s="1"/>
  <c r="W550" i="20" s="1"/>
  <c r="X550" i="20" s="1"/>
  <c r="Y550" i="20" s="1"/>
  <c r="T560" i="20"/>
  <c r="V560" i="20" s="1"/>
  <c r="T570" i="20"/>
  <c r="V570" i="20" s="1"/>
  <c r="T572" i="20"/>
  <c r="V572" i="20" s="1"/>
  <c r="T574" i="20"/>
  <c r="V574" i="20" s="1"/>
  <c r="T576" i="20"/>
  <c r="V576" i="20" s="1"/>
  <c r="T578" i="20"/>
  <c r="V578" i="20" s="1"/>
  <c r="T580" i="20"/>
  <c r="V580" i="20" s="1"/>
  <c r="T598" i="20"/>
  <c r="V598" i="20" s="1"/>
  <c r="W598" i="20" s="1"/>
  <c r="X598" i="20" s="1"/>
  <c r="Y598" i="20" s="1"/>
  <c r="T604" i="20"/>
  <c r="T614" i="20"/>
  <c r="V614" i="20" s="1"/>
  <c r="T620" i="20"/>
  <c r="V620" i="20" s="1"/>
  <c r="W620" i="20" s="1"/>
  <c r="X620" i="20" s="1"/>
  <c r="Y620" i="20" s="1"/>
  <c r="T630" i="20"/>
  <c r="V630" i="20" s="1"/>
  <c r="T636" i="20"/>
  <c r="V636" i="20" s="1"/>
  <c r="W636" i="20" s="1"/>
  <c r="X636" i="20" s="1"/>
  <c r="Y636" i="20" s="1"/>
  <c r="T646" i="20"/>
  <c r="T652" i="20"/>
  <c r="V652" i="20" s="1"/>
  <c r="W652" i="20" s="1"/>
  <c r="X652" i="20" s="1"/>
  <c r="Y652" i="20" s="1"/>
  <c r="T662" i="20"/>
  <c r="V662" i="20" s="1"/>
  <c r="W662" i="20" s="1"/>
  <c r="X662" i="20" s="1"/>
  <c r="Y662" i="20" s="1"/>
  <c r="T668" i="20"/>
  <c r="V668" i="20" s="1"/>
  <c r="T678" i="20"/>
  <c r="T684" i="20"/>
  <c r="V684" i="20" s="1"/>
  <c r="T6" i="21"/>
  <c r="V6" i="21" s="1"/>
  <c r="T22" i="21"/>
  <c r="T28" i="21"/>
  <c r="V28" i="21" s="1"/>
  <c r="T38" i="21"/>
  <c r="V38" i="21" s="1"/>
  <c r="T44" i="21"/>
  <c r="V44" i="21" s="1"/>
  <c r="T54" i="21"/>
  <c r="V54" i="21" s="1"/>
  <c r="T60" i="21"/>
  <c r="V60" i="21" s="1"/>
  <c r="T70" i="21"/>
  <c r="V70" i="21" s="1"/>
  <c r="W70" i="21" s="1"/>
  <c r="X70" i="21" s="1"/>
  <c r="Y70" i="21" s="1"/>
  <c r="T76" i="21"/>
  <c r="V76" i="21" s="1"/>
  <c r="T86" i="21"/>
  <c r="V86" i="21" s="1"/>
  <c r="T92" i="21"/>
  <c r="V92" i="21" s="1"/>
  <c r="T102" i="21"/>
  <c r="V102" i="21" s="1"/>
  <c r="T104" i="21"/>
  <c r="V104" i="21" s="1"/>
  <c r="T10" i="22"/>
  <c r="V10" i="22" s="1"/>
  <c r="T26" i="22"/>
  <c r="V26" i="22" s="1"/>
  <c r="T42" i="22"/>
  <c r="T45" i="22"/>
  <c r="T62" i="22"/>
  <c r="V62" i="22" s="1"/>
  <c r="T69" i="22"/>
  <c r="V69" i="22" s="1"/>
  <c r="T85" i="22"/>
  <c r="V85" i="22" s="1"/>
  <c r="T10" i="17"/>
  <c r="V10" i="17" s="1"/>
  <c r="W10" i="17" s="1"/>
  <c r="X10" i="17" s="1"/>
  <c r="Y10" i="17" s="1"/>
  <c r="T11" i="17"/>
  <c r="V11" i="17" s="1"/>
  <c r="T18" i="17"/>
  <c r="V18" i="17" s="1"/>
  <c r="T19" i="17"/>
  <c r="V19" i="17" s="1"/>
  <c r="T26" i="17"/>
  <c r="T34" i="17"/>
  <c r="T42" i="17"/>
  <c r="V42" i="17" s="1"/>
  <c r="T50" i="17"/>
  <c r="T6" i="17"/>
  <c r="V6" i="17" s="1"/>
  <c r="W6" i="17" s="1"/>
  <c r="X6" i="17" s="1"/>
  <c r="T7" i="17"/>
  <c r="V7" i="17" s="1"/>
  <c r="W7" i="17" s="1"/>
  <c r="X7" i="17" s="1"/>
  <c r="Y7" i="17" s="1"/>
  <c r="T14" i="17"/>
  <c r="V14" i="17" s="1"/>
  <c r="T15" i="17"/>
  <c r="T22" i="17"/>
  <c r="V22" i="17" s="1"/>
  <c r="T23" i="17"/>
  <c r="V23" i="17" s="1"/>
  <c r="W23" i="17" s="1"/>
  <c r="X23" i="17" s="1"/>
  <c r="Y23" i="17" s="1"/>
  <c r="T30" i="17"/>
  <c r="V30" i="17" s="1"/>
  <c r="T31" i="17"/>
  <c r="V31" i="17" s="1"/>
  <c r="T38" i="17"/>
  <c r="T39" i="17"/>
  <c r="T46" i="17"/>
  <c r="T47" i="17"/>
  <c r="T7" i="15"/>
  <c r="V7" i="15" s="1"/>
  <c r="T8" i="15"/>
  <c r="T15" i="15"/>
  <c r="V15" i="15" s="1"/>
  <c r="T16" i="15"/>
  <c r="V16" i="15" s="1"/>
  <c r="T23" i="15"/>
  <c r="T24" i="15"/>
  <c r="V24" i="15" s="1"/>
  <c r="T9" i="16"/>
  <c r="V9" i="16" s="1"/>
  <c r="W9" i="16" s="1"/>
  <c r="X9" i="16" s="1"/>
  <c r="T10" i="16"/>
  <c r="V10" i="16" s="1"/>
  <c r="W10" i="16" s="1"/>
  <c r="X10" i="16" s="1"/>
  <c r="T17" i="16"/>
  <c r="T18" i="16"/>
  <c r="T7" i="18"/>
  <c r="V7" i="18" s="1"/>
  <c r="T8" i="18"/>
  <c r="V8" i="18" s="1"/>
  <c r="T15" i="18"/>
  <c r="V15" i="18" s="1"/>
  <c r="T16" i="18"/>
  <c r="V16" i="18" s="1"/>
  <c r="T23" i="18"/>
  <c r="T24" i="18"/>
  <c r="T31" i="18"/>
  <c r="V31" i="18" s="1"/>
  <c r="T32" i="18"/>
  <c r="V32" i="18" s="1"/>
  <c r="T39" i="18"/>
  <c r="V39" i="18" s="1"/>
  <c r="T40" i="18"/>
  <c r="V40" i="18" s="1"/>
  <c r="T47" i="18"/>
  <c r="V47" i="18" s="1"/>
  <c r="T48" i="18"/>
  <c r="V48" i="18" s="1"/>
  <c r="T55" i="18"/>
  <c r="V55" i="18" s="1"/>
  <c r="T56" i="18"/>
  <c r="V56" i="18" s="1"/>
  <c r="T7" i="19"/>
  <c r="V7" i="19" s="1"/>
  <c r="T15" i="19"/>
  <c r="V15" i="19" s="1"/>
  <c r="T24" i="19"/>
  <c r="V24" i="19" s="1"/>
  <c r="T33" i="19"/>
  <c r="V33" i="19" s="1"/>
  <c r="W33" i="19" s="1"/>
  <c r="X33" i="19" s="1"/>
  <c r="T42" i="19"/>
  <c r="V42" i="19" s="1"/>
  <c r="W42" i="19" s="1"/>
  <c r="X42" i="19" s="1"/>
  <c r="T50" i="19"/>
  <c r="V50" i="19" s="1"/>
  <c r="W50" i="19" s="1"/>
  <c r="X50" i="19" s="1"/>
  <c r="T59" i="19"/>
  <c r="V59" i="19" s="1"/>
  <c r="T68" i="19"/>
  <c r="T76" i="19"/>
  <c r="T84" i="19"/>
  <c r="V84" i="19" s="1"/>
  <c r="T94" i="19"/>
  <c r="V94" i="19" s="1"/>
  <c r="T112" i="19"/>
  <c r="V112" i="19" s="1"/>
  <c r="T128" i="19"/>
  <c r="V128" i="19" s="1"/>
  <c r="T145" i="19"/>
  <c r="V145" i="19" s="1"/>
  <c r="T165" i="19"/>
  <c r="V165" i="19" s="1"/>
  <c r="T146" i="19"/>
  <c r="V146" i="19" s="1"/>
  <c r="T17" i="20"/>
  <c r="V17" i="20" s="1"/>
  <c r="W17" i="20" s="1"/>
  <c r="X17" i="20" s="1"/>
  <c r="Y17" i="20" s="1"/>
  <c r="T33" i="20"/>
  <c r="V33" i="20" s="1"/>
  <c r="W33" i="20" s="1"/>
  <c r="X33" i="20" s="1"/>
  <c r="Y33" i="20" s="1"/>
  <c r="T49" i="20"/>
  <c r="V49" i="20" s="1"/>
  <c r="T65" i="20"/>
  <c r="V65" i="20" s="1"/>
  <c r="T92" i="19"/>
  <c r="T100" i="19"/>
  <c r="V100" i="19" s="1"/>
  <c r="T101" i="19"/>
  <c r="V101" i="19" s="1"/>
  <c r="T109" i="19"/>
  <c r="V109" i="19" s="1"/>
  <c r="T111" i="19"/>
  <c r="V111" i="19" s="1"/>
  <c r="T118" i="19"/>
  <c r="V118" i="19" s="1"/>
  <c r="T126" i="19"/>
  <c r="V126" i="19" s="1"/>
  <c r="T127" i="19"/>
  <c r="V127" i="19" s="1"/>
  <c r="T134" i="19"/>
  <c r="V134" i="19" s="1"/>
  <c r="T135" i="19"/>
  <c r="V135" i="19" s="1"/>
  <c r="T143" i="19"/>
  <c r="V143" i="19" s="1"/>
  <c r="T144" i="19"/>
  <c r="V144" i="19" s="1"/>
  <c r="T155" i="19"/>
  <c r="T156" i="19"/>
  <c r="V156" i="19" s="1"/>
  <c r="W156" i="19" s="1"/>
  <c r="X156" i="19" s="1"/>
  <c r="T163" i="19"/>
  <c r="V163" i="19" s="1"/>
  <c r="T164" i="19"/>
  <c r="T172" i="19"/>
  <c r="T174" i="19"/>
  <c r="T110" i="19"/>
  <c r="V110" i="19" s="1"/>
  <c r="T136" i="19"/>
  <c r="V136" i="19" s="1"/>
  <c r="T7" i="20"/>
  <c r="T8" i="20"/>
  <c r="V8" i="20" s="1"/>
  <c r="W8" i="20" s="1"/>
  <c r="X8" i="20" s="1"/>
  <c r="Y8" i="20" s="1"/>
  <c r="T15" i="20"/>
  <c r="V15" i="20" s="1"/>
  <c r="W15" i="20" s="1"/>
  <c r="X15" i="20" s="1"/>
  <c r="Y15" i="20" s="1"/>
  <c r="T16" i="20"/>
  <c r="V16" i="20" s="1"/>
  <c r="W16" i="20" s="1"/>
  <c r="X16" i="20" s="1"/>
  <c r="Y16" i="20" s="1"/>
  <c r="T23" i="20"/>
  <c r="V23" i="20" s="1"/>
  <c r="T24" i="20"/>
  <c r="V24" i="20" s="1"/>
  <c r="T31" i="20"/>
  <c r="V31" i="20" s="1"/>
  <c r="W31" i="20" s="1"/>
  <c r="X31" i="20" s="1"/>
  <c r="Y31" i="20" s="1"/>
  <c r="T32" i="20"/>
  <c r="V32" i="20" s="1"/>
  <c r="W32" i="20" s="1"/>
  <c r="X32" i="20" s="1"/>
  <c r="Y32" i="20" s="1"/>
  <c r="T39" i="20"/>
  <c r="V39" i="20" s="1"/>
  <c r="T40" i="20"/>
  <c r="V40" i="20" s="1"/>
  <c r="T47" i="20"/>
  <c r="V47" i="20" s="1"/>
  <c r="T48" i="20"/>
  <c r="V48" i="20" s="1"/>
  <c r="T55" i="20"/>
  <c r="V55" i="20" s="1"/>
  <c r="T56" i="20"/>
  <c r="V56" i="20" s="1"/>
  <c r="T63" i="20"/>
  <c r="V63" i="20" s="1"/>
  <c r="T64" i="20"/>
  <c r="V64" i="20" s="1"/>
  <c r="T71" i="20"/>
  <c r="V71" i="20" s="1"/>
  <c r="T72" i="20"/>
  <c r="V72" i="20" s="1"/>
  <c r="T79" i="20"/>
  <c r="V79" i="20" s="1"/>
  <c r="T80" i="20"/>
  <c r="V80" i="20" s="1"/>
  <c r="T87" i="20"/>
  <c r="V87" i="20" s="1"/>
  <c r="T88" i="20"/>
  <c r="V88" i="20" s="1"/>
  <c r="T95" i="20"/>
  <c r="V95" i="20" s="1"/>
  <c r="W95" i="20" s="1"/>
  <c r="X95" i="20" s="1"/>
  <c r="Y95" i="20" s="1"/>
  <c r="T96" i="20"/>
  <c r="V96" i="20" s="1"/>
  <c r="W96" i="20" s="1"/>
  <c r="X96" i="20" s="1"/>
  <c r="Y96" i="20" s="1"/>
  <c r="T103" i="20"/>
  <c r="V103" i="20" s="1"/>
  <c r="W103" i="20" s="1"/>
  <c r="X103" i="20" s="1"/>
  <c r="Y103" i="20" s="1"/>
  <c r="T104" i="20"/>
  <c r="V104" i="20" s="1"/>
  <c r="W104" i="20" s="1"/>
  <c r="X104" i="20" s="1"/>
  <c r="Y104" i="20" s="1"/>
  <c r="T111" i="20"/>
  <c r="V111" i="20" s="1"/>
  <c r="T112" i="20"/>
  <c r="V112" i="20" s="1"/>
  <c r="T119" i="20"/>
  <c r="V119" i="20" s="1"/>
  <c r="T120" i="20"/>
  <c r="V120" i="20" s="1"/>
  <c r="T127" i="20"/>
  <c r="T128" i="20"/>
  <c r="T135" i="20"/>
  <c r="T136" i="20"/>
  <c r="T143" i="20"/>
  <c r="V143" i="20" s="1"/>
  <c r="W143" i="20" s="1"/>
  <c r="X143" i="20" s="1"/>
  <c r="Y143" i="20" s="1"/>
  <c r="T144" i="20"/>
  <c r="V144" i="20" s="1"/>
  <c r="T256" i="20"/>
  <c r="V256" i="20" s="1"/>
  <c r="W256" i="20" s="1"/>
  <c r="X256" i="20" s="1"/>
  <c r="Y256" i="20" s="1"/>
  <c r="T257" i="20"/>
  <c r="V257" i="20" s="1"/>
  <c r="W257" i="20" s="1"/>
  <c r="X257" i="20" s="1"/>
  <c r="Y257" i="20" s="1"/>
  <c r="T258" i="20"/>
  <c r="V258" i="20" s="1"/>
  <c r="W258" i="20" s="1"/>
  <c r="X258" i="20" s="1"/>
  <c r="Y258" i="20" s="1"/>
  <c r="T259" i="20"/>
  <c r="V259" i="20" s="1"/>
  <c r="W259" i="20" s="1"/>
  <c r="X259" i="20" s="1"/>
  <c r="Y259" i="20" s="1"/>
  <c r="T267" i="20"/>
  <c r="V267" i="20" s="1"/>
  <c r="W267" i="20" s="1"/>
  <c r="X267" i="20" s="1"/>
  <c r="Y267" i="20" s="1"/>
  <c r="T283" i="20"/>
  <c r="V283" i="20" s="1"/>
  <c r="T299" i="20"/>
  <c r="V299" i="20" s="1"/>
  <c r="W299" i="20" s="1"/>
  <c r="X299" i="20" s="1"/>
  <c r="Y299" i="20" s="1"/>
  <c r="T315" i="20"/>
  <c r="V315" i="20" s="1"/>
  <c r="T582" i="20"/>
  <c r="V582" i="20" s="1"/>
  <c r="T584" i="20"/>
  <c r="V584" i="20" s="1"/>
  <c r="T586" i="20"/>
  <c r="V586" i="20" s="1"/>
  <c r="T588" i="20"/>
  <c r="V588" i="20" s="1"/>
  <c r="T590" i="20"/>
  <c r="V590" i="20" s="1"/>
  <c r="T592" i="20"/>
  <c r="V592" i="20" s="1"/>
  <c r="T600" i="20"/>
  <c r="V600" i="20" s="1"/>
  <c r="W600" i="20" s="1"/>
  <c r="X600" i="20" s="1"/>
  <c r="Y600" i="20" s="1"/>
  <c r="T608" i="20"/>
  <c r="V608" i="20" s="1"/>
  <c r="T616" i="20"/>
  <c r="V616" i="20" s="1"/>
  <c r="W616" i="20" s="1"/>
  <c r="X616" i="20" s="1"/>
  <c r="Y616" i="20" s="1"/>
  <c r="T624" i="20"/>
  <c r="T632" i="20"/>
  <c r="V632" i="20" s="1"/>
  <c r="T640" i="20"/>
  <c r="T648" i="20"/>
  <c r="V648" i="20" s="1"/>
  <c r="W648" i="20" s="1"/>
  <c r="X648" i="20" s="1"/>
  <c r="Y648" i="20" s="1"/>
  <c r="T656" i="20"/>
  <c r="V656" i="20" s="1"/>
  <c r="W656" i="20" s="1"/>
  <c r="X656" i="20" s="1"/>
  <c r="Y656" i="20" s="1"/>
  <c r="T664" i="20"/>
  <c r="T672" i="20"/>
  <c r="V672" i="20" s="1"/>
  <c r="T680" i="20"/>
  <c r="T10" i="21"/>
  <c r="T12" i="21"/>
  <c r="V12" i="21" s="1"/>
  <c r="W12" i="21" s="1"/>
  <c r="X12" i="21" s="1"/>
  <c r="Y12" i="21" s="1"/>
  <c r="T14" i="21"/>
  <c r="V14" i="21" s="1"/>
  <c r="W14" i="21" s="1"/>
  <c r="X14" i="21" s="1"/>
  <c r="Y14" i="21" s="1"/>
  <c r="T16" i="21"/>
  <c r="V16" i="21" s="1"/>
  <c r="W16" i="21" s="1"/>
  <c r="X16" i="21" s="1"/>
  <c r="Y16" i="21" s="1"/>
  <c r="T24" i="21"/>
  <c r="T32" i="21"/>
  <c r="V32" i="21" s="1"/>
  <c r="T40" i="21"/>
  <c r="V40" i="21" s="1"/>
  <c r="T48" i="21"/>
  <c r="V48" i="21" s="1"/>
  <c r="T56" i="21"/>
  <c r="V56" i="21" s="1"/>
  <c r="T64" i="21"/>
  <c r="V64" i="21" s="1"/>
  <c r="T72" i="21"/>
  <c r="V72" i="21" s="1"/>
  <c r="T80" i="21"/>
  <c r="V80" i="21" s="1"/>
  <c r="W80" i="21" s="1"/>
  <c r="X80" i="21" s="1"/>
  <c r="Y80" i="21" s="1"/>
  <c r="T88" i="21"/>
  <c r="V88" i="21" s="1"/>
  <c r="T100" i="21"/>
  <c r="V100" i="21" s="1"/>
  <c r="T108" i="21"/>
  <c r="V108" i="21" s="1"/>
  <c r="T109" i="21"/>
  <c r="V109" i="21" s="1"/>
  <c r="T9" i="22"/>
  <c r="T17" i="22"/>
  <c r="V17" i="22" s="1"/>
  <c r="T25" i="22"/>
  <c r="V25" i="22" s="1"/>
  <c r="T61" i="22"/>
  <c r="V61" i="22" s="1"/>
  <c r="T6" i="14"/>
  <c r="V6" i="14" s="1"/>
  <c r="T14" i="14"/>
  <c r="V14" i="14" s="1"/>
  <c r="T22" i="14"/>
  <c r="V22" i="14" s="1"/>
  <c r="T261" i="20"/>
  <c r="V261" i="20" s="1"/>
  <c r="W261" i="20" s="1"/>
  <c r="X261" i="20" s="1"/>
  <c r="Y261" i="20" s="1"/>
  <c r="T269" i="20"/>
  <c r="V269" i="20" s="1"/>
  <c r="W269" i="20" s="1"/>
  <c r="X269" i="20" s="1"/>
  <c r="Y269" i="20" s="1"/>
  <c r="T277" i="20"/>
  <c r="V277" i="20" s="1"/>
  <c r="T285" i="20"/>
  <c r="V285" i="20" s="1"/>
  <c r="W285" i="20" s="1"/>
  <c r="X285" i="20" s="1"/>
  <c r="Y285" i="20" s="1"/>
  <c r="T293" i="20"/>
  <c r="V293" i="20" s="1"/>
  <c r="T301" i="20"/>
  <c r="V301" i="20" s="1"/>
  <c r="T309" i="20"/>
  <c r="V309" i="20" s="1"/>
  <c r="T317" i="20"/>
  <c r="V317" i="20" s="1"/>
  <c r="T325" i="20"/>
  <c r="V325" i="20" s="1"/>
  <c r="T327" i="20"/>
  <c r="V327" i="20" s="1"/>
  <c r="T335" i="20"/>
  <c r="V335" i="20" s="1"/>
  <c r="T343" i="20"/>
  <c r="V343" i="20" s="1"/>
  <c r="T351" i="20"/>
  <c r="V351" i="20" s="1"/>
  <c r="T359" i="20"/>
  <c r="V359" i="20" s="1"/>
  <c r="T367" i="20"/>
  <c r="V367" i="20" s="1"/>
  <c r="T375" i="20"/>
  <c r="V375" i="20" s="1"/>
  <c r="T383" i="20"/>
  <c r="V383" i="20" s="1"/>
  <c r="T391" i="20"/>
  <c r="V391" i="20" s="1"/>
  <c r="T399" i="20"/>
  <c r="V399" i="20" s="1"/>
  <c r="T407" i="20"/>
  <c r="V407" i="20" s="1"/>
  <c r="T415" i="20"/>
  <c r="V415" i="20" s="1"/>
  <c r="W415" i="20" s="1"/>
  <c r="X415" i="20" s="1"/>
  <c r="T423" i="20"/>
  <c r="V423" i="20" s="1"/>
  <c r="W423" i="20" s="1"/>
  <c r="X423" i="20" s="1"/>
  <c r="T431" i="20"/>
  <c r="V431" i="20" s="1"/>
  <c r="W431" i="20" s="1"/>
  <c r="X431" i="20" s="1"/>
  <c r="T439" i="20"/>
  <c r="V439" i="20" s="1"/>
  <c r="W439" i="20" s="1"/>
  <c r="X439" i="20" s="1"/>
  <c r="T447" i="20"/>
  <c r="V447" i="20" s="1"/>
  <c r="T455" i="20"/>
  <c r="V455" i="20" s="1"/>
  <c r="W455" i="20" s="1"/>
  <c r="X455" i="20" s="1"/>
  <c r="T463" i="20"/>
  <c r="V463" i="20" s="1"/>
  <c r="W463" i="20" s="1"/>
  <c r="X463" i="20" s="1"/>
  <c r="T471" i="20"/>
  <c r="V471" i="20" s="1"/>
  <c r="W471" i="20" s="1"/>
  <c r="X471" i="20" s="1"/>
  <c r="T479" i="20"/>
  <c r="V479" i="20" s="1"/>
  <c r="T481" i="20"/>
  <c r="V481" i="20" s="1"/>
  <c r="T483" i="20"/>
  <c r="V483" i="20" s="1"/>
  <c r="T491" i="20"/>
  <c r="V491" i="20" s="1"/>
  <c r="T499" i="20"/>
  <c r="V499" i="20" s="1"/>
  <c r="T507" i="20"/>
  <c r="V507" i="20" s="1"/>
  <c r="T522" i="20"/>
  <c r="V522" i="20" s="1"/>
  <c r="T530" i="20"/>
  <c r="V530" i="20" s="1"/>
  <c r="T538" i="20"/>
  <c r="V538" i="20" s="1"/>
  <c r="T546" i="20"/>
  <c r="V546" i="20" s="1"/>
  <c r="T554" i="20"/>
  <c r="V554" i="20" s="1"/>
  <c r="T562" i="20"/>
  <c r="V562" i="20" s="1"/>
  <c r="T564" i="20"/>
  <c r="V564" i="20" s="1"/>
  <c r="T566" i="20"/>
  <c r="V566" i="20" s="1"/>
  <c r="T74" i="22"/>
  <c r="V74" i="22" s="1"/>
  <c r="T10" i="14"/>
  <c r="V10" i="14" s="1"/>
  <c r="T11" i="14"/>
  <c r="V11" i="14" s="1"/>
  <c r="T18" i="14"/>
  <c r="V18" i="14" s="1"/>
  <c r="T19" i="14"/>
  <c r="V19" i="14" s="1"/>
  <c r="T26" i="14"/>
  <c r="V26" i="14" s="1"/>
  <c r="T9" i="17"/>
  <c r="V9" i="17" s="1"/>
  <c r="W9" i="17" s="1"/>
  <c r="X9" i="17" s="1"/>
  <c r="Y9" i="17" s="1"/>
  <c r="T13" i="17"/>
  <c r="T17" i="17"/>
  <c r="V17" i="17" s="1"/>
  <c r="T21" i="17"/>
  <c r="V21" i="17" s="1"/>
  <c r="T25" i="17"/>
  <c r="V25" i="17" s="1"/>
  <c r="W25" i="17" s="1"/>
  <c r="X25" i="17" s="1"/>
  <c r="Y25" i="17" s="1"/>
  <c r="T29" i="17"/>
  <c r="V29" i="17" s="1"/>
  <c r="T33" i="17"/>
  <c r="T37" i="17"/>
  <c r="T41" i="17"/>
  <c r="V41" i="17" s="1"/>
  <c r="T45" i="17"/>
  <c r="V45" i="17" s="1"/>
  <c r="T49" i="17"/>
  <c r="T10" i="15"/>
  <c r="T14" i="15"/>
  <c r="V14" i="15" s="1"/>
  <c r="T18" i="15"/>
  <c r="V18" i="15" s="1"/>
  <c r="T22" i="15"/>
  <c r="V22" i="15" s="1"/>
  <c r="T26" i="15"/>
  <c r="T8" i="16"/>
  <c r="T12" i="16"/>
  <c r="V12" i="16" s="1"/>
  <c r="W12" i="16" s="1"/>
  <c r="X12" i="16" s="1"/>
  <c r="T16" i="16"/>
  <c r="V16" i="16" s="1"/>
  <c r="W16" i="16" s="1"/>
  <c r="X16" i="16" s="1"/>
  <c r="T20" i="16"/>
  <c r="T6" i="18"/>
  <c r="V6" i="18" s="1"/>
  <c r="T10" i="18"/>
  <c r="V10" i="18" s="1"/>
  <c r="T14" i="18"/>
  <c r="V14" i="18" s="1"/>
  <c r="T18" i="18"/>
  <c r="V18" i="18" s="1"/>
  <c r="T22" i="18"/>
  <c r="V22" i="18" s="1"/>
  <c r="T26" i="18"/>
  <c r="V26" i="18" s="1"/>
  <c r="T30" i="18"/>
  <c r="V30" i="18" s="1"/>
  <c r="T34" i="18"/>
  <c r="V34" i="18" s="1"/>
  <c r="T38" i="18"/>
  <c r="V38" i="18" s="1"/>
  <c r="T42" i="18"/>
  <c r="V42" i="18" s="1"/>
  <c r="T46" i="18"/>
  <c r="V46" i="18" s="1"/>
  <c r="T50" i="18"/>
  <c r="V50" i="18" s="1"/>
  <c r="T54" i="18"/>
  <c r="V54" i="18" s="1"/>
  <c r="T125" i="19"/>
  <c r="V125" i="19" s="1"/>
  <c r="T129" i="19"/>
  <c r="V129" i="19" s="1"/>
  <c r="T133" i="19"/>
  <c r="V133" i="19" s="1"/>
  <c r="T138" i="19"/>
  <c r="V138" i="19" s="1"/>
  <c r="W138" i="19" s="1"/>
  <c r="X138" i="19" s="1"/>
  <c r="T142" i="19"/>
  <c r="V142" i="19" s="1"/>
  <c r="W142" i="19" s="1"/>
  <c r="X142" i="19" s="1"/>
  <c r="T149" i="19"/>
  <c r="V149" i="19" s="1"/>
  <c r="T154" i="19"/>
  <c r="V154" i="19" s="1"/>
  <c r="T158" i="19"/>
  <c r="V158" i="19" s="1"/>
  <c r="W158" i="19" s="1"/>
  <c r="X158" i="19" s="1"/>
  <c r="Y158" i="19" s="1"/>
  <c r="T162" i="19"/>
  <c r="T166" i="19"/>
  <c r="V166" i="19" s="1"/>
  <c r="T171" i="19"/>
  <c r="V171" i="19" s="1"/>
  <c r="T28" i="19"/>
  <c r="V28" i="19" s="1"/>
  <c r="T103" i="19"/>
  <c r="V103" i="19" s="1"/>
  <c r="W103" i="19" s="1"/>
  <c r="X103" i="19" s="1"/>
  <c r="T147" i="19"/>
  <c r="V147" i="19" s="1"/>
  <c r="T6" i="20"/>
  <c r="V6" i="20" s="1"/>
  <c r="T10" i="20"/>
  <c r="T14" i="20"/>
  <c r="V14" i="20" s="1"/>
  <c r="W14" i="20" s="1"/>
  <c r="X14" i="20" s="1"/>
  <c r="Y14" i="20" s="1"/>
  <c r="T18" i="20"/>
  <c r="V18" i="20" s="1"/>
  <c r="W18" i="20" s="1"/>
  <c r="X18" i="20" s="1"/>
  <c r="Y18" i="20" s="1"/>
  <c r="T22" i="20"/>
  <c r="V22" i="20" s="1"/>
  <c r="T26" i="20"/>
  <c r="V26" i="20" s="1"/>
  <c r="W26" i="20" s="1"/>
  <c r="X26" i="20" s="1"/>
  <c r="Y26" i="20" s="1"/>
  <c r="T30" i="20"/>
  <c r="V30" i="20" s="1"/>
  <c r="W30" i="20" s="1"/>
  <c r="X30" i="20" s="1"/>
  <c r="Y30" i="20" s="1"/>
  <c r="T34" i="20"/>
  <c r="V34" i="20" s="1"/>
  <c r="T38" i="20"/>
  <c r="V38" i="20" s="1"/>
  <c r="T42" i="20"/>
  <c r="V42" i="20" s="1"/>
  <c r="T46" i="20"/>
  <c r="V46" i="20" s="1"/>
  <c r="T50" i="20"/>
  <c r="V50" i="20" s="1"/>
  <c r="T54" i="20"/>
  <c r="V54" i="20" s="1"/>
  <c r="T58" i="20"/>
  <c r="V58" i="20" s="1"/>
  <c r="T62" i="20"/>
  <c r="V62" i="20" s="1"/>
  <c r="T66" i="20"/>
  <c r="V66" i="20" s="1"/>
  <c r="T70" i="20"/>
  <c r="V70" i="20" s="1"/>
  <c r="W70" i="20" s="1"/>
  <c r="X70" i="20" s="1"/>
  <c r="Y70" i="20" s="1"/>
  <c r="T74" i="20"/>
  <c r="V74" i="20" s="1"/>
  <c r="T78" i="20"/>
  <c r="V78" i="20" s="1"/>
  <c r="T82" i="20"/>
  <c r="V82" i="20" s="1"/>
  <c r="T86" i="20"/>
  <c r="V86" i="20" s="1"/>
  <c r="T90" i="20"/>
  <c r="V90" i="20" s="1"/>
  <c r="T94" i="20"/>
  <c r="V94" i="20" s="1"/>
  <c r="W94" i="20" s="1"/>
  <c r="X94" i="20" s="1"/>
  <c r="Y94" i="20" s="1"/>
  <c r="T98" i="20"/>
  <c r="V98" i="20" s="1"/>
  <c r="T102" i="20"/>
  <c r="V102" i="20" s="1"/>
  <c r="T106" i="20"/>
  <c r="V106" i="20" s="1"/>
  <c r="T110" i="20"/>
  <c r="V110" i="20" s="1"/>
  <c r="W110" i="20" s="1"/>
  <c r="X110" i="20" s="1"/>
  <c r="Y110" i="20" s="1"/>
  <c r="T114" i="20"/>
  <c r="V114" i="20" s="1"/>
  <c r="T118" i="20"/>
  <c r="V118" i="20" s="1"/>
  <c r="T122" i="20"/>
  <c r="V122" i="20" s="1"/>
  <c r="W122" i="20" s="1"/>
  <c r="X122" i="20" s="1"/>
  <c r="Y122" i="20" s="1"/>
  <c r="T126" i="20"/>
  <c r="T130" i="20"/>
  <c r="T134" i="20"/>
  <c r="T138" i="20"/>
  <c r="T142" i="20"/>
  <c r="V142" i="20" s="1"/>
  <c r="W142" i="20" s="1"/>
  <c r="X142" i="20" s="1"/>
  <c r="Y142" i="20" s="1"/>
  <c r="T146" i="20"/>
  <c r="V146" i="20" s="1"/>
  <c r="W146" i="20" s="1"/>
  <c r="X146" i="20" s="1"/>
  <c r="Y146" i="20" s="1"/>
  <c r="T150" i="20"/>
  <c r="V150" i="20" s="1"/>
  <c r="W150" i="20" s="1"/>
  <c r="X150" i="20" s="1"/>
  <c r="Y150" i="20" s="1"/>
  <c r="T336" i="20"/>
  <c r="V336" i="20" s="1"/>
  <c r="T340" i="20"/>
  <c r="V340" i="20" s="1"/>
  <c r="T344" i="20"/>
  <c r="V344" i="20" s="1"/>
  <c r="T348" i="20"/>
  <c r="V348" i="20" s="1"/>
  <c r="T352" i="20"/>
  <c r="V352" i="20" s="1"/>
  <c r="T356" i="20"/>
  <c r="V356" i="20" s="1"/>
  <c r="T360" i="20"/>
  <c r="V360" i="20" s="1"/>
  <c r="T364" i="20"/>
  <c r="V364" i="20" s="1"/>
  <c r="T368" i="20"/>
  <c r="V368" i="20" s="1"/>
  <c r="W368" i="20" s="1"/>
  <c r="X368" i="20" s="1"/>
  <c r="Y368" i="20" s="1"/>
  <c r="T372" i="20"/>
  <c r="V372" i="20" s="1"/>
  <c r="T376" i="20"/>
  <c r="V376" i="20" s="1"/>
  <c r="T380" i="20"/>
  <c r="V380" i="20" s="1"/>
  <c r="T384" i="20"/>
  <c r="V384" i="20" s="1"/>
  <c r="T388" i="20"/>
  <c r="V388" i="20" s="1"/>
  <c r="T392" i="20"/>
  <c r="V392" i="20" s="1"/>
  <c r="T396" i="20"/>
  <c r="V396" i="20" s="1"/>
  <c r="T400" i="20"/>
  <c r="V400" i="20" s="1"/>
  <c r="T404" i="20"/>
  <c r="V404" i="20" s="1"/>
  <c r="T408" i="20"/>
  <c r="V408" i="20" s="1"/>
  <c r="T412" i="20"/>
  <c r="V412" i="20" s="1"/>
  <c r="W412" i="20" s="1"/>
  <c r="X412" i="20" s="1"/>
  <c r="T416" i="20"/>
  <c r="V416" i="20" s="1"/>
  <c r="W416" i="20" s="1"/>
  <c r="X416" i="20" s="1"/>
  <c r="T420" i="20"/>
  <c r="V420" i="20" s="1"/>
  <c r="W420" i="20" s="1"/>
  <c r="X420" i="20" s="1"/>
  <c r="T424" i="20"/>
  <c r="V424" i="20" s="1"/>
  <c r="W424" i="20" s="1"/>
  <c r="X424" i="20" s="1"/>
  <c r="T428" i="20"/>
  <c r="V428" i="20" s="1"/>
  <c r="W428" i="20" s="1"/>
  <c r="X428" i="20" s="1"/>
  <c r="T432" i="20"/>
  <c r="V432" i="20" s="1"/>
  <c r="W432" i="20" s="1"/>
  <c r="X432" i="20" s="1"/>
  <c r="T436" i="20"/>
  <c r="V436" i="20" s="1"/>
  <c r="W436" i="20" s="1"/>
  <c r="X436" i="20" s="1"/>
  <c r="T440" i="20"/>
  <c r="V440" i="20" s="1"/>
  <c r="W440" i="20" s="1"/>
  <c r="X440" i="20" s="1"/>
  <c r="T444" i="20"/>
  <c r="V444" i="20" s="1"/>
  <c r="T448" i="20"/>
  <c r="V448" i="20" s="1"/>
  <c r="T452" i="20"/>
  <c r="V452" i="20" s="1"/>
  <c r="W452" i="20" s="1"/>
  <c r="X452" i="20" s="1"/>
  <c r="T456" i="20"/>
  <c r="V456" i="20" s="1"/>
  <c r="W456" i="20" s="1"/>
  <c r="X456" i="20" s="1"/>
  <c r="T460" i="20"/>
  <c r="V460" i="20" s="1"/>
  <c r="W460" i="20" s="1"/>
  <c r="X460" i="20" s="1"/>
  <c r="T464" i="20"/>
  <c r="V464" i="20" s="1"/>
  <c r="W464" i="20" s="1"/>
  <c r="X464" i="20" s="1"/>
  <c r="T468" i="20"/>
  <c r="V468" i="20" s="1"/>
  <c r="W468" i="20" s="1"/>
  <c r="X468" i="20" s="1"/>
  <c r="T472" i="20"/>
  <c r="V472" i="20" s="1"/>
  <c r="W472" i="20" s="1"/>
  <c r="X472" i="20" s="1"/>
  <c r="T476" i="20"/>
  <c r="V476" i="20" s="1"/>
  <c r="T480" i="20"/>
  <c r="V480" i="20" s="1"/>
  <c r="W480" i="20" s="1"/>
  <c r="X480" i="20" s="1"/>
  <c r="Y480" i="20" s="1"/>
  <c r="T484" i="20"/>
  <c r="V484" i="20" s="1"/>
  <c r="T488" i="20"/>
  <c r="V488" i="20" s="1"/>
  <c r="T492" i="20"/>
  <c r="V492" i="20" s="1"/>
  <c r="T496" i="20"/>
  <c r="V496" i="20" s="1"/>
  <c r="W496" i="20" s="1"/>
  <c r="X496" i="20" s="1"/>
  <c r="Y496" i="20" s="1"/>
  <c r="T500" i="20"/>
  <c r="V500" i="20" s="1"/>
  <c r="T504" i="20"/>
  <c r="V504" i="20" s="1"/>
  <c r="T508" i="20"/>
  <c r="V508" i="20" s="1"/>
  <c r="T512" i="20"/>
  <c r="V512" i="20" s="1"/>
  <c r="T9" i="21"/>
  <c r="V9" i="21" s="1"/>
  <c r="T13" i="21"/>
  <c r="V13" i="21" s="1"/>
  <c r="W13" i="21" s="1"/>
  <c r="X13" i="21" s="1"/>
  <c r="Y13" i="21" s="1"/>
  <c r="T334" i="20"/>
  <c r="V334" i="20" s="1"/>
  <c r="T338" i="20"/>
  <c r="V338" i="20" s="1"/>
  <c r="T342" i="20"/>
  <c r="V342" i="20" s="1"/>
  <c r="W342" i="20" s="1"/>
  <c r="X342" i="20" s="1"/>
  <c r="Y342" i="20" s="1"/>
  <c r="T346" i="20"/>
  <c r="V346" i="20" s="1"/>
  <c r="T350" i="20"/>
  <c r="V350" i="20" s="1"/>
  <c r="T354" i="20"/>
  <c r="V354" i="20" s="1"/>
  <c r="T358" i="20"/>
  <c r="V358" i="20" s="1"/>
  <c r="T362" i="20"/>
  <c r="V362" i="20" s="1"/>
  <c r="T366" i="20"/>
  <c r="V366" i="20" s="1"/>
  <c r="T370" i="20"/>
  <c r="V370" i="20" s="1"/>
  <c r="T374" i="20"/>
  <c r="V374" i="20" s="1"/>
  <c r="T378" i="20"/>
  <c r="V378" i="20" s="1"/>
  <c r="T382" i="20"/>
  <c r="V382" i="20" s="1"/>
  <c r="T386" i="20"/>
  <c r="V386" i="20" s="1"/>
  <c r="T390" i="20"/>
  <c r="V390" i="20" s="1"/>
  <c r="T394" i="20"/>
  <c r="V394" i="20" s="1"/>
  <c r="T398" i="20"/>
  <c r="V398" i="20" s="1"/>
  <c r="T402" i="20"/>
  <c r="V402" i="20" s="1"/>
  <c r="W402" i="20" s="1"/>
  <c r="X402" i="20" s="1"/>
  <c r="Y402" i="20" s="1"/>
  <c r="T406" i="20"/>
  <c r="V406" i="20" s="1"/>
  <c r="T410" i="20"/>
  <c r="V410" i="20" s="1"/>
  <c r="T414" i="20"/>
  <c r="V414" i="20" s="1"/>
  <c r="W414" i="20" s="1"/>
  <c r="X414" i="20" s="1"/>
  <c r="T418" i="20"/>
  <c r="V418" i="20" s="1"/>
  <c r="W418" i="20" s="1"/>
  <c r="X418" i="20" s="1"/>
  <c r="T422" i="20"/>
  <c r="V422" i="20" s="1"/>
  <c r="W422" i="20" s="1"/>
  <c r="X422" i="20" s="1"/>
  <c r="T426" i="20"/>
  <c r="V426" i="20" s="1"/>
  <c r="W426" i="20" s="1"/>
  <c r="X426" i="20" s="1"/>
  <c r="T430" i="20"/>
  <c r="V430" i="20" s="1"/>
  <c r="W430" i="20" s="1"/>
  <c r="X430" i="20" s="1"/>
  <c r="T434" i="20"/>
  <c r="V434" i="20" s="1"/>
  <c r="W434" i="20" s="1"/>
  <c r="X434" i="20" s="1"/>
  <c r="T438" i="20"/>
  <c r="V438" i="20" s="1"/>
  <c r="W438" i="20" s="1"/>
  <c r="X438" i="20" s="1"/>
  <c r="T442" i="20"/>
  <c r="V442" i="20" s="1"/>
  <c r="W442" i="20" s="1"/>
  <c r="X442" i="20" s="1"/>
  <c r="Y442" i="20" s="1"/>
  <c r="T446" i="20"/>
  <c r="V446" i="20" s="1"/>
  <c r="W446" i="20" s="1"/>
  <c r="X446" i="20" s="1"/>
  <c r="Y446" i="20" s="1"/>
  <c r="T450" i="20"/>
  <c r="V450" i="20" s="1"/>
  <c r="W450" i="20" s="1"/>
  <c r="X450" i="20" s="1"/>
  <c r="Y450" i="20" s="1"/>
  <c r="T454" i="20"/>
  <c r="V454" i="20" s="1"/>
  <c r="W454" i="20" s="1"/>
  <c r="X454" i="20" s="1"/>
  <c r="T458" i="20"/>
  <c r="V458" i="20" s="1"/>
  <c r="W458" i="20" s="1"/>
  <c r="X458" i="20" s="1"/>
  <c r="T462" i="20"/>
  <c r="V462" i="20" s="1"/>
  <c r="W462" i="20" s="1"/>
  <c r="X462" i="20" s="1"/>
  <c r="T466" i="20"/>
  <c r="V466" i="20" s="1"/>
  <c r="W466" i="20" s="1"/>
  <c r="X466" i="20" s="1"/>
  <c r="T470" i="20"/>
  <c r="V470" i="20" s="1"/>
  <c r="W470" i="20" s="1"/>
  <c r="X470" i="20" s="1"/>
  <c r="T474" i="20"/>
  <c r="V474" i="20" s="1"/>
  <c r="W474" i="20" s="1"/>
  <c r="X474" i="20" s="1"/>
  <c r="T478" i="20"/>
  <c r="V478" i="20" s="1"/>
  <c r="W478" i="20" s="1"/>
  <c r="X478" i="20" s="1"/>
  <c r="Y478" i="20" s="1"/>
  <c r="T482" i="20"/>
  <c r="V482" i="20" s="1"/>
  <c r="T486" i="20"/>
  <c r="V486" i="20" s="1"/>
  <c r="T490" i="20"/>
  <c r="V490" i="20" s="1"/>
  <c r="T494" i="20"/>
  <c r="V494" i="20" s="1"/>
  <c r="T498" i="20"/>
  <c r="V498" i="20" s="1"/>
  <c r="T502" i="20"/>
  <c r="V502" i="20" s="1"/>
  <c r="T506" i="20"/>
  <c r="V506" i="20" s="1"/>
  <c r="T510" i="20"/>
  <c r="V510" i="20" s="1"/>
  <c r="T514" i="20"/>
  <c r="V514" i="20" s="1"/>
  <c r="T515" i="20"/>
  <c r="V515" i="20" s="1"/>
  <c r="T519" i="20"/>
  <c r="V519" i="20" s="1"/>
  <c r="T523" i="20"/>
  <c r="V523" i="20" s="1"/>
  <c r="T527" i="20"/>
  <c r="V527" i="20" s="1"/>
  <c r="T531" i="20"/>
  <c r="V531" i="20" s="1"/>
  <c r="T535" i="20"/>
  <c r="V535" i="20" s="1"/>
  <c r="T539" i="20"/>
  <c r="V539" i="20" s="1"/>
  <c r="T543" i="20"/>
  <c r="V543" i="20" s="1"/>
  <c r="T547" i="20"/>
  <c r="V547" i="20" s="1"/>
  <c r="T551" i="20"/>
  <c r="V551" i="20" s="1"/>
  <c r="W551" i="20" s="1"/>
  <c r="X551" i="20" s="1"/>
  <c r="Y551" i="20" s="1"/>
  <c r="T555" i="20"/>
  <c r="V555" i="20" s="1"/>
  <c r="T559" i="20"/>
  <c r="V559" i="20" s="1"/>
  <c r="T563" i="20"/>
  <c r="V563" i="20" s="1"/>
  <c r="T567" i="20"/>
  <c r="V567" i="20" s="1"/>
  <c r="T571" i="20"/>
  <c r="V571" i="20" s="1"/>
  <c r="T575" i="20"/>
  <c r="V575" i="20" s="1"/>
  <c r="T579" i="20"/>
  <c r="V579" i="20" s="1"/>
  <c r="T583" i="20"/>
  <c r="V583" i="20" s="1"/>
  <c r="T587" i="20"/>
  <c r="V587" i="20" s="1"/>
  <c r="T591" i="20"/>
  <c r="V591" i="20" s="1"/>
  <c r="T595" i="20"/>
  <c r="V595" i="20" s="1"/>
  <c r="T599" i="20"/>
  <c r="V599" i="20" s="1"/>
  <c r="W599" i="20" s="1"/>
  <c r="X599" i="20" s="1"/>
  <c r="Y599" i="20" s="1"/>
  <c r="T603" i="20"/>
  <c r="V603" i="20" s="1"/>
  <c r="T607" i="20"/>
  <c r="V607" i="20" s="1"/>
  <c r="W607" i="20" s="1"/>
  <c r="X607" i="20" s="1"/>
  <c r="Y607" i="20" s="1"/>
  <c r="T611" i="20"/>
  <c r="V611" i="20" s="1"/>
  <c r="W611" i="20" s="1"/>
  <c r="X611" i="20" s="1"/>
  <c r="Y611" i="20" s="1"/>
  <c r="T615" i="20"/>
  <c r="T619" i="20"/>
  <c r="T623" i="20"/>
  <c r="T627" i="20"/>
  <c r="T631" i="20"/>
  <c r="V631" i="20" s="1"/>
  <c r="T635" i="20"/>
  <c r="V635" i="20" s="1"/>
  <c r="W635" i="20" s="1"/>
  <c r="X635" i="20" s="1"/>
  <c r="Y635" i="20" s="1"/>
  <c r="T639" i="20"/>
  <c r="V639" i="20" s="1"/>
  <c r="W639" i="20" s="1"/>
  <c r="X639" i="20" s="1"/>
  <c r="Y639" i="20" s="1"/>
  <c r="T643" i="20"/>
  <c r="T647" i="20"/>
  <c r="T651" i="20"/>
  <c r="T655" i="20"/>
  <c r="V655" i="20" s="1"/>
  <c r="W655" i="20" s="1"/>
  <c r="X655" i="20" s="1"/>
  <c r="Y655" i="20" s="1"/>
  <c r="T659" i="20"/>
  <c r="V659" i="20" s="1"/>
  <c r="T663" i="20"/>
  <c r="T667" i="20"/>
  <c r="T671" i="20"/>
  <c r="V671" i="20" s="1"/>
  <c r="W671" i="20" s="1"/>
  <c r="X671" i="20" s="1"/>
  <c r="Y671" i="20" s="1"/>
  <c r="T675" i="20"/>
  <c r="V675" i="20" s="1"/>
  <c r="W675" i="20" s="1"/>
  <c r="X675" i="20" s="1"/>
  <c r="Y675" i="20" s="1"/>
  <c r="T679" i="20"/>
  <c r="V679" i="20" s="1"/>
  <c r="W679" i="20" s="1"/>
  <c r="X679" i="20" s="1"/>
  <c r="Y679" i="20" s="1"/>
  <c r="T683" i="20"/>
  <c r="V683" i="20" s="1"/>
  <c r="T7" i="21"/>
  <c r="V7" i="21" s="1"/>
  <c r="T11" i="21"/>
  <c r="V11" i="21" s="1"/>
  <c r="T15" i="21"/>
  <c r="V15" i="21" s="1"/>
  <c r="T17" i="21"/>
  <c r="V17" i="21" s="1"/>
  <c r="T21" i="21"/>
  <c r="T25" i="21"/>
  <c r="V25" i="21" s="1"/>
  <c r="T29" i="21"/>
  <c r="V29" i="21" s="1"/>
  <c r="T33" i="21"/>
  <c r="V33" i="21" s="1"/>
  <c r="T37" i="21"/>
  <c r="V37" i="21" s="1"/>
  <c r="T41" i="21"/>
  <c r="V41" i="21" s="1"/>
  <c r="T45" i="21"/>
  <c r="V45" i="21" s="1"/>
  <c r="T49" i="21"/>
  <c r="V49" i="21" s="1"/>
  <c r="T53" i="21"/>
  <c r="V53" i="21" s="1"/>
  <c r="W53" i="21" s="1"/>
  <c r="X53" i="21" s="1"/>
  <c r="Y53" i="21" s="1"/>
  <c r="T57" i="21"/>
  <c r="V57" i="21" s="1"/>
  <c r="T61" i="21"/>
  <c r="V61" i="21" s="1"/>
  <c r="T65" i="21"/>
  <c r="V65" i="21" s="1"/>
  <c r="T69" i="21"/>
  <c r="V69" i="21" s="1"/>
  <c r="T73" i="21"/>
  <c r="V73" i="21" s="1"/>
  <c r="T77" i="21"/>
  <c r="V77" i="21" s="1"/>
  <c r="T81" i="21"/>
  <c r="V81" i="21" s="1"/>
  <c r="T85" i="21"/>
  <c r="V85" i="21" s="1"/>
  <c r="T89" i="21"/>
  <c r="V89" i="21" s="1"/>
  <c r="T93" i="21"/>
  <c r="V93" i="21" s="1"/>
  <c r="T97" i="21"/>
  <c r="T101" i="21"/>
  <c r="V101" i="21" s="1"/>
  <c r="T105" i="21"/>
  <c r="V105" i="21" s="1"/>
  <c r="T12" i="22"/>
  <c r="V12" i="22" s="1"/>
  <c r="T13" i="22"/>
  <c r="V13" i="22" s="1"/>
  <c r="T20" i="22"/>
  <c r="V20" i="22" s="1"/>
  <c r="T21" i="22"/>
  <c r="V21" i="22" s="1"/>
  <c r="T28" i="22"/>
  <c r="V28" i="22" s="1"/>
  <c r="T29" i="22"/>
  <c r="V29" i="22" s="1"/>
  <c r="T36" i="22"/>
  <c r="T44" i="22"/>
  <c r="T52" i="22"/>
  <c r="V52" i="22" s="1"/>
  <c r="T60" i="22"/>
  <c r="T68" i="22"/>
  <c r="V68" i="22" s="1"/>
  <c r="T76" i="22"/>
  <c r="V76" i="22" s="1"/>
  <c r="T84" i="22"/>
  <c r="V84" i="22" s="1"/>
  <c r="T19" i="21"/>
  <c r="V19" i="21" s="1"/>
  <c r="T23" i="21"/>
  <c r="T27" i="21"/>
  <c r="T31" i="21"/>
  <c r="V31" i="21" s="1"/>
  <c r="T35" i="21"/>
  <c r="V35" i="21" s="1"/>
  <c r="T39" i="21"/>
  <c r="V39" i="21" s="1"/>
  <c r="T43" i="21"/>
  <c r="V43" i="21" s="1"/>
  <c r="T47" i="21"/>
  <c r="V47" i="21" s="1"/>
  <c r="T51" i="21"/>
  <c r="V51" i="21" s="1"/>
  <c r="T55" i="21"/>
  <c r="V55" i="21" s="1"/>
  <c r="T59" i="21"/>
  <c r="V59" i="21" s="1"/>
  <c r="T63" i="21"/>
  <c r="T67" i="21"/>
  <c r="V67" i="21" s="1"/>
  <c r="T71" i="21"/>
  <c r="V71" i="21" s="1"/>
  <c r="T75" i="21"/>
  <c r="V75" i="21" s="1"/>
  <c r="T79" i="21"/>
  <c r="V79" i="21" s="1"/>
  <c r="T83" i="21"/>
  <c r="V83" i="21" s="1"/>
  <c r="T87" i="21"/>
  <c r="V87" i="21" s="1"/>
  <c r="T91" i="21"/>
  <c r="V91" i="21" s="1"/>
  <c r="T95" i="21"/>
  <c r="V95" i="21" s="1"/>
  <c r="T99" i="21"/>
  <c r="T103" i="21"/>
  <c r="V103" i="21" s="1"/>
  <c r="T107" i="21"/>
  <c r="T111" i="21"/>
  <c r="V111" i="21" s="1"/>
  <c r="T8" i="22"/>
  <c r="V8" i="22" s="1"/>
  <c r="W8" i="22" s="1"/>
  <c r="X8" i="22" s="1"/>
  <c r="Y8" i="22" s="1"/>
  <c r="T16" i="22"/>
  <c r="V16" i="22" s="1"/>
  <c r="T24" i="22"/>
  <c r="V24" i="22" s="1"/>
  <c r="T32" i="22"/>
  <c r="V32" i="22" s="1"/>
  <c r="W32" i="22" s="1"/>
  <c r="X32" i="22" s="1"/>
  <c r="Y32" i="22" s="1"/>
  <c r="T33" i="22"/>
  <c r="V33" i="22" s="1"/>
  <c r="T40" i="22"/>
  <c r="V40" i="22" s="1"/>
  <c r="T41" i="22"/>
  <c r="V41" i="22" s="1"/>
  <c r="T48" i="22"/>
  <c r="T49" i="22"/>
  <c r="V49" i="22" s="1"/>
  <c r="T56" i="22"/>
  <c r="V56" i="22" s="1"/>
  <c r="T57" i="22"/>
  <c r="V57" i="22" s="1"/>
  <c r="T64" i="22"/>
  <c r="V64" i="22" s="1"/>
  <c r="T65" i="22"/>
  <c r="V65" i="22" s="1"/>
  <c r="T72" i="22"/>
  <c r="V72" i="22" s="1"/>
  <c r="W72" i="22" s="1"/>
  <c r="X72" i="22" s="1"/>
  <c r="Y72" i="22" s="1"/>
  <c r="T73" i="22"/>
  <c r="T80" i="22"/>
  <c r="V80" i="22" s="1"/>
  <c r="T81" i="22"/>
  <c r="V81" i="22" s="1"/>
  <c r="T88" i="22"/>
  <c r="V88" i="22" s="1"/>
  <c r="T9" i="14"/>
  <c r="V9" i="14" s="1"/>
  <c r="T13" i="14"/>
  <c r="V13" i="14" s="1"/>
  <c r="T17" i="14"/>
  <c r="T21" i="14"/>
  <c r="V21" i="14" s="1"/>
  <c r="T25" i="14"/>
  <c r="V25" i="14" s="1"/>
  <c r="T7" i="22"/>
  <c r="V7" i="22" s="1"/>
  <c r="W7" i="22" s="1"/>
  <c r="X7" i="22" s="1"/>
  <c r="Y7" i="22" s="1"/>
  <c r="T11" i="22"/>
  <c r="T15" i="22"/>
  <c r="V15" i="22" s="1"/>
  <c r="W15" i="22" s="1"/>
  <c r="X15" i="22" s="1"/>
  <c r="Y15" i="22" s="1"/>
  <c r="T19" i="22"/>
  <c r="V19" i="22" s="1"/>
  <c r="T23" i="22"/>
  <c r="V23" i="22" s="1"/>
  <c r="T27" i="22"/>
  <c r="V27" i="22" s="1"/>
  <c r="T31" i="22"/>
  <c r="T35" i="22"/>
  <c r="V35" i="22" s="1"/>
  <c r="T39" i="22"/>
  <c r="V39" i="22" s="1"/>
  <c r="T43" i="22"/>
  <c r="T47" i="22"/>
  <c r="V47" i="22" s="1"/>
  <c r="T51" i="22"/>
  <c r="V51" i="22" s="1"/>
  <c r="T55" i="22"/>
  <c r="T59" i="22"/>
  <c r="V59" i="22" s="1"/>
  <c r="T63" i="22"/>
  <c r="V63" i="22" s="1"/>
  <c r="T67" i="22"/>
  <c r="V67" i="22" s="1"/>
  <c r="T71" i="22"/>
  <c r="V71" i="22" s="1"/>
  <c r="T75" i="22"/>
  <c r="V75" i="22" s="1"/>
  <c r="T79" i="22"/>
  <c r="V79" i="22" s="1"/>
  <c r="T83" i="22"/>
  <c r="T87" i="22"/>
  <c r="V87" i="22" s="1"/>
  <c r="T262" i="20"/>
  <c r="V262" i="20" s="1"/>
  <c r="W262" i="20" s="1"/>
  <c r="X262" i="20" s="1"/>
  <c r="Y262" i="20" s="1"/>
  <c r="T266" i="20"/>
  <c r="V266" i="20" s="1"/>
  <c r="W266" i="20" s="1"/>
  <c r="X266" i="20" s="1"/>
  <c r="Y266" i="20" s="1"/>
  <c r="T270" i="20"/>
  <c r="V270" i="20" s="1"/>
  <c r="T274" i="20"/>
  <c r="V274" i="20" s="1"/>
  <c r="T278" i="20"/>
  <c r="V278" i="20" s="1"/>
  <c r="T282" i="20"/>
  <c r="V282" i="20" s="1"/>
  <c r="T286" i="20"/>
  <c r="V286" i="20" s="1"/>
  <c r="T290" i="20"/>
  <c r="V290" i="20" s="1"/>
  <c r="T294" i="20"/>
  <c r="V294" i="20" s="1"/>
  <c r="T298" i="20"/>
  <c r="V298" i="20" s="1"/>
  <c r="T302" i="20"/>
  <c r="V302" i="20" s="1"/>
  <c r="T306" i="20"/>
  <c r="V306" i="20" s="1"/>
  <c r="T310" i="20"/>
  <c r="V310" i="20" s="1"/>
  <c r="T314" i="20"/>
  <c r="V314" i="20" s="1"/>
  <c r="T318" i="20"/>
  <c r="V318" i="20" s="1"/>
  <c r="T322" i="20"/>
  <c r="V322" i="20" s="1"/>
  <c r="T326" i="20"/>
  <c r="V326" i="20" s="1"/>
  <c r="T330" i="20"/>
  <c r="V330" i="20" s="1"/>
  <c r="T260" i="20"/>
  <c r="V260" i="20" s="1"/>
  <c r="W260" i="20" s="1"/>
  <c r="X260" i="20" s="1"/>
  <c r="Y260" i="20" s="1"/>
  <c r="T264" i="20"/>
  <c r="V264" i="20" s="1"/>
  <c r="W264" i="20" s="1"/>
  <c r="X264" i="20" s="1"/>
  <c r="Y264" i="20" s="1"/>
  <c r="T268" i="20"/>
  <c r="V268" i="20" s="1"/>
  <c r="W268" i="20" s="1"/>
  <c r="X268" i="20" s="1"/>
  <c r="Y268" i="20" s="1"/>
  <c r="T272" i="20"/>
  <c r="V272" i="20" s="1"/>
  <c r="W272" i="20" s="1"/>
  <c r="X272" i="20" s="1"/>
  <c r="Y272" i="20" s="1"/>
  <c r="T276" i="20"/>
  <c r="V276" i="20" s="1"/>
  <c r="T280" i="20"/>
  <c r="V280" i="20" s="1"/>
  <c r="T284" i="20"/>
  <c r="V284" i="20" s="1"/>
  <c r="T288" i="20"/>
  <c r="V288" i="20" s="1"/>
  <c r="T292" i="20"/>
  <c r="V292" i="20" s="1"/>
  <c r="T296" i="20"/>
  <c r="V296" i="20" s="1"/>
  <c r="T300" i="20"/>
  <c r="V300" i="20" s="1"/>
  <c r="T304" i="20"/>
  <c r="V304" i="20" s="1"/>
  <c r="W304" i="20" s="1"/>
  <c r="X304" i="20" s="1"/>
  <c r="Y304" i="20" s="1"/>
  <c r="T308" i="20"/>
  <c r="V308" i="20" s="1"/>
  <c r="T312" i="20"/>
  <c r="V312" i="20" s="1"/>
  <c r="T316" i="20"/>
  <c r="V316" i="20" s="1"/>
  <c r="T320" i="20"/>
  <c r="V320" i="20" s="1"/>
  <c r="T324" i="20"/>
  <c r="V324" i="20" s="1"/>
  <c r="T328" i="20"/>
  <c r="V328" i="20" s="1"/>
  <c r="W328" i="20" s="1"/>
  <c r="X328" i="20" s="1"/>
  <c r="Y328" i="20" s="1"/>
  <c r="T332" i="20"/>
  <c r="V332" i="20" s="1"/>
  <c r="T517" i="20"/>
  <c r="V517" i="20" s="1"/>
  <c r="T521" i="20"/>
  <c r="V521" i="20" s="1"/>
  <c r="T525" i="20"/>
  <c r="V525" i="20" s="1"/>
  <c r="T529" i="20"/>
  <c r="V529" i="20" s="1"/>
  <c r="T533" i="20"/>
  <c r="V533" i="20" s="1"/>
  <c r="T537" i="20"/>
  <c r="V537" i="20" s="1"/>
  <c r="T541" i="20"/>
  <c r="V541" i="20" s="1"/>
  <c r="T545" i="20"/>
  <c r="V545" i="20" s="1"/>
  <c r="T549" i="20"/>
  <c r="V549" i="20" s="1"/>
  <c r="T553" i="20"/>
  <c r="V553" i="20" s="1"/>
  <c r="T557" i="20"/>
  <c r="V557" i="20" s="1"/>
  <c r="T561" i="20"/>
  <c r="V561" i="20" s="1"/>
  <c r="T565" i="20"/>
  <c r="V565" i="20" s="1"/>
  <c r="T569" i="20"/>
  <c r="V569" i="20" s="1"/>
  <c r="T573" i="20"/>
  <c r="V573" i="20" s="1"/>
  <c r="T577" i="20"/>
  <c r="V577" i="20" s="1"/>
  <c r="T581" i="20"/>
  <c r="V581" i="20" s="1"/>
  <c r="T585" i="20"/>
  <c r="V585" i="20" s="1"/>
  <c r="T589" i="20"/>
  <c r="V589" i="20" s="1"/>
  <c r="T593" i="20"/>
  <c r="V593" i="20" s="1"/>
  <c r="W593" i="20" s="1"/>
  <c r="X593" i="20" s="1"/>
  <c r="Y593" i="20" s="1"/>
  <c r="T597" i="20"/>
  <c r="V597" i="20" s="1"/>
  <c r="W597" i="20" s="1"/>
  <c r="X597" i="20" s="1"/>
  <c r="Y597" i="20" s="1"/>
  <c r="T601" i="20"/>
  <c r="V601" i="20" s="1"/>
  <c r="W601" i="20" s="1"/>
  <c r="X601" i="20" s="1"/>
  <c r="Y601" i="20" s="1"/>
  <c r="T605" i="20"/>
  <c r="V605" i="20" s="1"/>
  <c r="W605" i="20" s="1"/>
  <c r="X605" i="20" s="1"/>
  <c r="Y605" i="20" s="1"/>
  <c r="T609" i="20"/>
  <c r="V609" i="20" s="1"/>
  <c r="T613" i="20"/>
  <c r="V613" i="20" s="1"/>
  <c r="T617" i="20"/>
  <c r="T621" i="20"/>
  <c r="T625" i="20"/>
  <c r="V625" i="20" s="1"/>
  <c r="W625" i="20" s="1"/>
  <c r="X625" i="20" s="1"/>
  <c r="Y625" i="20" s="1"/>
  <c r="T629" i="20"/>
  <c r="V629" i="20" s="1"/>
  <c r="T633" i="20"/>
  <c r="V633" i="20" s="1"/>
  <c r="T637" i="20"/>
  <c r="V637" i="20" s="1"/>
  <c r="T641" i="20"/>
  <c r="T645" i="20"/>
  <c r="T649" i="20"/>
  <c r="T653" i="20"/>
  <c r="V653" i="20" s="1"/>
  <c r="T657" i="20"/>
  <c r="V657" i="20" s="1"/>
  <c r="T661" i="20"/>
  <c r="V661" i="20" s="1"/>
  <c r="T665" i="20"/>
  <c r="T669" i="20"/>
  <c r="V669" i="20" s="1"/>
  <c r="W669" i="20" s="1"/>
  <c r="X669" i="20" s="1"/>
  <c r="Y669" i="20" s="1"/>
  <c r="T673" i="20"/>
  <c r="V673" i="20" s="1"/>
  <c r="T677" i="20"/>
  <c r="V677" i="20" s="1"/>
  <c r="W677" i="20" s="1"/>
  <c r="X677" i="20" s="1"/>
  <c r="Y677" i="20" s="1"/>
  <c r="T681" i="20"/>
  <c r="T8" i="19"/>
  <c r="V8" i="19" s="1"/>
  <c r="T12" i="19"/>
  <c r="V12" i="19" s="1"/>
  <c r="W12" i="19" s="1"/>
  <c r="X12" i="19" s="1"/>
  <c r="T16" i="19"/>
  <c r="V16" i="19" s="1"/>
  <c r="T20" i="19"/>
  <c r="V20" i="19" s="1"/>
  <c r="T25" i="19"/>
  <c r="V25" i="19" s="1"/>
  <c r="T30" i="19"/>
  <c r="V30" i="19" s="1"/>
  <c r="W30" i="19" s="1"/>
  <c r="X30" i="19" s="1"/>
  <c r="T34" i="19"/>
  <c r="V34" i="19" s="1"/>
  <c r="W34" i="19" s="1"/>
  <c r="X34" i="19" s="1"/>
  <c r="T38" i="19"/>
  <c r="V38" i="19" s="1"/>
  <c r="W38" i="19" s="1"/>
  <c r="X38" i="19" s="1"/>
  <c r="T43" i="19"/>
  <c r="V43" i="19" s="1"/>
  <c r="W43" i="19" s="1"/>
  <c r="X43" i="19" s="1"/>
  <c r="T47" i="19"/>
  <c r="V47" i="19" s="1"/>
  <c r="W47" i="19" s="1"/>
  <c r="X47" i="19" s="1"/>
  <c r="T51" i="19"/>
  <c r="V51" i="19" s="1"/>
  <c r="W51" i="19" s="1"/>
  <c r="X51" i="19" s="1"/>
  <c r="T55" i="19"/>
  <c r="V55" i="19" s="1"/>
  <c r="T60" i="19"/>
  <c r="V60" i="19" s="1"/>
  <c r="T65" i="19"/>
  <c r="V65" i="19" s="1"/>
  <c r="T69" i="19"/>
  <c r="V69" i="19" s="1"/>
  <c r="T73" i="19"/>
  <c r="V73" i="19" s="1"/>
  <c r="W73" i="19" s="1"/>
  <c r="X73" i="19" s="1"/>
  <c r="Y73" i="19" s="1"/>
  <c r="T77" i="19"/>
  <c r="T81" i="19"/>
  <c r="V81" i="19" s="1"/>
  <c r="T85" i="19"/>
  <c r="V85" i="19" s="1"/>
  <c r="T89" i="19"/>
  <c r="V89" i="19" s="1"/>
  <c r="T93" i="19"/>
  <c r="V93" i="19" s="1"/>
  <c r="T97" i="19"/>
  <c r="V97" i="19" s="1"/>
  <c r="T115" i="19"/>
  <c r="V115" i="19" s="1"/>
  <c r="T119" i="19"/>
  <c r="V119" i="19" s="1"/>
  <c r="T6" i="19"/>
  <c r="V6" i="19" s="1"/>
  <c r="T10" i="19"/>
  <c r="V10" i="19" s="1"/>
  <c r="T14" i="19"/>
  <c r="V14" i="19" s="1"/>
  <c r="T18" i="19"/>
  <c r="V18" i="19" s="1"/>
  <c r="W18" i="19" s="1"/>
  <c r="X18" i="19" s="1"/>
  <c r="Y18" i="19" s="1"/>
  <c r="T23" i="19"/>
  <c r="V23" i="19" s="1"/>
  <c r="T27" i="19"/>
  <c r="V27" i="19" s="1"/>
  <c r="W27" i="19" s="1"/>
  <c r="X27" i="19" s="1"/>
  <c r="Y27" i="19" s="1"/>
  <c r="T32" i="19"/>
  <c r="V32" i="19" s="1"/>
  <c r="W32" i="19" s="1"/>
  <c r="X32" i="19" s="1"/>
  <c r="T36" i="19"/>
  <c r="V36" i="19" s="1"/>
  <c r="W36" i="19" s="1"/>
  <c r="X36" i="19" s="1"/>
  <c r="T41" i="19"/>
  <c r="V41" i="19" s="1"/>
  <c r="W41" i="19" s="1"/>
  <c r="X41" i="19" s="1"/>
  <c r="T45" i="19"/>
  <c r="V45" i="19" s="1"/>
  <c r="W45" i="19" s="1"/>
  <c r="X45" i="19" s="1"/>
  <c r="T49" i="19"/>
  <c r="V49" i="19" s="1"/>
  <c r="W49" i="19" s="1"/>
  <c r="X49" i="19" s="1"/>
  <c r="T53" i="19"/>
  <c r="V53" i="19" s="1"/>
  <c r="W53" i="19" s="1"/>
  <c r="X53" i="19" s="1"/>
  <c r="Y53" i="19" s="1"/>
  <c r="T58" i="19"/>
  <c r="V58" i="19" s="1"/>
  <c r="T62" i="19"/>
  <c r="T67" i="19"/>
  <c r="V67" i="19" s="1"/>
  <c r="T71" i="19"/>
  <c r="V71" i="19" s="1"/>
  <c r="T75" i="19"/>
  <c r="T79" i="19"/>
  <c r="V79" i="19" s="1"/>
  <c r="T83" i="19"/>
  <c r="V83" i="19" s="1"/>
  <c r="T87" i="19"/>
  <c r="V87" i="19" s="1"/>
  <c r="T91" i="19"/>
  <c r="V91" i="19" s="1"/>
  <c r="T95" i="19"/>
  <c r="V95" i="19" s="1"/>
  <c r="T99" i="19"/>
  <c r="V99" i="19" s="1"/>
  <c r="T104" i="19"/>
  <c r="V104" i="19" s="1"/>
  <c r="T108" i="19"/>
  <c r="V108" i="19" s="1"/>
  <c r="T113" i="19"/>
  <c r="T117" i="19"/>
  <c r="V117" i="19" s="1"/>
  <c r="W117" i="19" s="1"/>
  <c r="X117" i="19" s="1"/>
  <c r="Y117" i="19" s="1"/>
  <c r="T121" i="19"/>
  <c r="V121" i="19" s="1"/>
  <c r="N88" i="22"/>
  <c r="N87" i="22"/>
  <c r="N86" i="22"/>
  <c r="N85" i="22"/>
  <c r="N84" i="22"/>
  <c r="N83" i="22"/>
  <c r="N81" i="22"/>
  <c r="N80" i="22"/>
  <c r="N79" i="22"/>
  <c r="N78" i="22"/>
  <c r="W78" i="22" s="1"/>
  <c r="X78" i="22" s="1"/>
  <c r="N77" i="22"/>
  <c r="W77" i="22" s="1"/>
  <c r="X77" i="22" s="1"/>
  <c r="N76" i="22"/>
  <c r="N75" i="22"/>
  <c r="N74" i="22"/>
  <c r="N73" i="22"/>
  <c r="N71" i="22"/>
  <c r="N70" i="22"/>
  <c r="N69" i="22"/>
  <c r="N68" i="22"/>
  <c r="N67" i="22"/>
  <c r="N66" i="22"/>
  <c r="W66" i="22" s="1"/>
  <c r="X66" i="22" s="1"/>
  <c r="N65" i="22"/>
  <c r="N64" i="22"/>
  <c r="N63" i="22"/>
  <c r="N62" i="22"/>
  <c r="N61" i="22"/>
  <c r="N60" i="22"/>
  <c r="N59" i="22"/>
  <c r="N58" i="22"/>
  <c r="W58" i="22" s="1"/>
  <c r="X58" i="22" s="1"/>
  <c r="N57" i="22"/>
  <c r="N56" i="22"/>
  <c r="N55" i="22"/>
  <c r="N54" i="22"/>
  <c r="W54" i="22" s="1"/>
  <c r="X54" i="22" s="1"/>
  <c r="N53" i="22"/>
  <c r="W53" i="22" s="1"/>
  <c r="X53" i="22" s="1"/>
  <c r="N52" i="22"/>
  <c r="N51" i="22"/>
  <c r="N50" i="22"/>
  <c r="W50" i="22" s="1"/>
  <c r="X50" i="22" s="1"/>
  <c r="N49" i="22"/>
  <c r="N48" i="22"/>
  <c r="N47" i="22"/>
  <c r="N46" i="22"/>
  <c r="W46" i="22" s="1"/>
  <c r="X46" i="22" s="1"/>
  <c r="N45" i="22"/>
  <c r="N44" i="22"/>
  <c r="N43" i="22"/>
  <c r="N42" i="22"/>
  <c r="N41" i="22"/>
  <c r="N40" i="22"/>
  <c r="W40" i="22" s="1"/>
  <c r="X40" i="22" s="1"/>
  <c r="N39" i="22"/>
  <c r="N38" i="22"/>
  <c r="N37" i="22"/>
  <c r="N36" i="22"/>
  <c r="N35" i="22"/>
  <c r="N34" i="22"/>
  <c r="W34" i="22" s="1"/>
  <c r="X34" i="22" s="1"/>
  <c r="N33" i="22"/>
  <c r="N31" i="22"/>
  <c r="N30" i="22"/>
  <c r="W30" i="22" s="1"/>
  <c r="X30" i="22" s="1"/>
  <c r="N29" i="22"/>
  <c r="W29" i="22" s="1"/>
  <c r="X29" i="22" s="1"/>
  <c r="N28" i="22"/>
  <c r="N27" i="22"/>
  <c r="W27" i="22" s="1"/>
  <c r="X27" i="22" s="1"/>
  <c r="N26" i="22"/>
  <c r="N25" i="22"/>
  <c r="W25" i="22" s="1"/>
  <c r="X25" i="22" s="1"/>
  <c r="N24" i="22"/>
  <c r="N23" i="22"/>
  <c r="W23" i="22" s="1"/>
  <c r="X23" i="22" s="1"/>
  <c r="N22" i="22"/>
  <c r="W22" i="22" s="1"/>
  <c r="X22" i="22" s="1"/>
  <c r="N21" i="22"/>
  <c r="W21" i="22" s="1"/>
  <c r="X21" i="22" s="1"/>
  <c r="N20" i="22"/>
  <c r="N19" i="22"/>
  <c r="W19" i="22" s="1"/>
  <c r="X19" i="22" s="1"/>
  <c r="N18" i="22"/>
  <c r="W18" i="22" s="1"/>
  <c r="X18" i="22" s="1"/>
  <c r="N17" i="22"/>
  <c r="W17" i="22" s="1"/>
  <c r="X17" i="22" s="1"/>
  <c r="N16" i="22"/>
  <c r="N10" i="22"/>
  <c r="W10" i="22" s="1"/>
  <c r="X10" i="22" s="1"/>
  <c r="N11" i="22"/>
  <c r="N12" i="22"/>
  <c r="W12" i="22" s="1"/>
  <c r="X12" i="22" s="1"/>
  <c r="N13" i="22"/>
  <c r="N14" i="22"/>
  <c r="W14" i="22" s="1"/>
  <c r="X14" i="22" s="1"/>
  <c r="N9" i="22"/>
  <c r="N112" i="21"/>
  <c r="W112" i="21" s="1"/>
  <c r="X112" i="21" s="1"/>
  <c r="N111" i="21"/>
  <c r="N110" i="21"/>
  <c r="W110" i="21" s="1"/>
  <c r="X110" i="21" s="1"/>
  <c r="N109" i="21"/>
  <c r="N108" i="21"/>
  <c r="W108" i="21" s="1"/>
  <c r="X108" i="21" s="1"/>
  <c r="N107" i="21"/>
  <c r="N106" i="21"/>
  <c r="W106" i="21" s="1"/>
  <c r="X106" i="21" s="1"/>
  <c r="N105" i="21"/>
  <c r="N104" i="21"/>
  <c r="W104" i="21" s="1"/>
  <c r="X104" i="21" s="1"/>
  <c r="N103" i="21"/>
  <c r="N102" i="21"/>
  <c r="W102" i="21" s="1"/>
  <c r="X102" i="21" s="1"/>
  <c r="N101" i="21"/>
  <c r="N100" i="21"/>
  <c r="W100" i="21" s="1"/>
  <c r="X100" i="21" s="1"/>
  <c r="N99" i="21"/>
  <c r="N98" i="21"/>
  <c r="N97" i="21"/>
  <c r="N96" i="21"/>
  <c r="W96" i="21" s="1"/>
  <c r="X96" i="21" s="1"/>
  <c r="N95" i="21"/>
  <c r="W95" i="21" s="1"/>
  <c r="X95" i="21" s="1"/>
  <c r="N94" i="21"/>
  <c r="W94" i="21" s="1"/>
  <c r="X94" i="21" s="1"/>
  <c r="N93" i="21"/>
  <c r="W93" i="21" s="1"/>
  <c r="X93" i="21" s="1"/>
  <c r="N92" i="21"/>
  <c r="W92" i="21" s="1"/>
  <c r="X92" i="21" s="1"/>
  <c r="N91" i="21"/>
  <c r="W91" i="21" s="1"/>
  <c r="X91" i="21" s="1"/>
  <c r="N90" i="21"/>
  <c r="W90" i="21" s="1"/>
  <c r="X90" i="21" s="1"/>
  <c r="N89" i="21"/>
  <c r="W89" i="21" s="1"/>
  <c r="X89" i="21" s="1"/>
  <c r="N88" i="21"/>
  <c r="W88" i="21" s="1"/>
  <c r="X88" i="21" s="1"/>
  <c r="N87" i="21"/>
  <c r="W87" i="21" s="1"/>
  <c r="X87" i="21" s="1"/>
  <c r="N86" i="21"/>
  <c r="W86" i="21" s="1"/>
  <c r="X86" i="21" s="1"/>
  <c r="N85" i="21"/>
  <c r="W85" i="21" s="1"/>
  <c r="X85" i="21" s="1"/>
  <c r="N84" i="21"/>
  <c r="W84" i="21" s="1"/>
  <c r="X84" i="21" s="1"/>
  <c r="N83" i="21"/>
  <c r="W83" i="21" s="1"/>
  <c r="X83" i="21" s="1"/>
  <c r="N82" i="21"/>
  <c r="W82" i="21" s="1"/>
  <c r="X82" i="21" s="1"/>
  <c r="N81" i="21"/>
  <c r="W81" i="21" s="1"/>
  <c r="X81" i="21" s="1"/>
  <c r="N79" i="21"/>
  <c r="W79" i="21" s="1"/>
  <c r="X79" i="21" s="1"/>
  <c r="N78" i="21"/>
  <c r="W78" i="21" s="1"/>
  <c r="X78" i="21" s="1"/>
  <c r="N77" i="21"/>
  <c r="W77" i="21" s="1"/>
  <c r="X77" i="21" s="1"/>
  <c r="N76" i="21"/>
  <c r="W76" i="21" s="1"/>
  <c r="X76" i="21" s="1"/>
  <c r="N75" i="21"/>
  <c r="W75" i="21" s="1"/>
  <c r="X75" i="21" s="1"/>
  <c r="N74" i="21"/>
  <c r="W74" i="21" s="1"/>
  <c r="X74" i="21" s="1"/>
  <c r="N73" i="21"/>
  <c r="N72" i="21"/>
  <c r="N71" i="21"/>
  <c r="N69" i="21"/>
  <c r="W69" i="21" s="1"/>
  <c r="X69" i="21" s="1"/>
  <c r="N68" i="21"/>
  <c r="W68" i="21" s="1"/>
  <c r="X68" i="21" s="1"/>
  <c r="N67" i="21"/>
  <c r="W67" i="21" s="1"/>
  <c r="X67" i="21" s="1"/>
  <c r="N66" i="21"/>
  <c r="W66" i="21" s="1"/>
  <c r="X66" i="21" s="1"/>
  <c r="N65" i="21"/>
  <c r="W65" i="21" s="1"/>
  <c r="X65" i="21" s="1"/>
  <c r="N64" i="21"/>
  <c r="W64" i="21" s="1"/>
  <c r="X64" i="21" s="1"/>
  <c r="N63" i="21"/>
  <c r="N62" i="21"/>
  <c r="W62" i="21" s="1"/>
  <c r="X62" i="21" s="1"/>
  <c r="N61" i="21"/>
  <c r="W61" i="21" s="1"/>
  <c r="X61" i="21" s="1"/>
  <c r="N60" i="21"/>
  <c r="W60" i="21" s="1"/>
  <c r="X60" i="21" s="1"/>
  <c r="N59" i="21"/>
  <c r="W59" i="21" s="1"/>
  <c r="X59" i="21" s="1"/>
  <c r="N58" i="21"/>
  <c r="W58" i="21" s="1"/>
  <c r="X58" i="21" s="1"/>
  <c r="N57" i="21"/>
  <c r="W57" i="21" s="1"/>
  <c r="X57" i="21" s="1"/>
  <c r="N56" i="21"/>
  <c r="W56" i="21" s="1"/>
  <c r="X56" i="21" s="1"/>
  <c r="N55" i="21"/>
  <c r="W55" i="21" s="1"/>
  <c r="X55" i="21" s="1"/>
  <c r="N54" i="21"/>
  <c r="W54" i="21" s="1"/>
  <c r="X54" i="21" s="1"/>
  <c r="N52" i="21"/>
  <c r="W52" i="21" s="1"/>
  <c r="X52" i="21" s="1"/>
  <c r="N51" i="21"/>
  <c r="W51" i="21" s="1"/>
  <c r="X51" i="21" s="1"/>
  <c r="N50" i="21"/>
  <c r="W50" i="21" s="1"/>
  <c r="X50" i="21" s="1"/>
  <c r="N49" i="21"/>
  <c r="W49" i="21" s="1"/>
  <c r="X49" i="21" s="1"/>
  <c r="N48" i="21"/>
  <c r="W48" i="21" s="1"/>
  <c r="X48" i="21" s="1"/>
  <c r="N47" i="21"/>
  <c r="W47" i="21" s="1"/>
  <c r="X47" i="21" s="1"/>
  <c r="N46" i="21"/>
  <c r="W46" i="21" s="1"/>
  <c r="X46" i="21" s="1"/>
  <c r="N45" i="21"/>
  <c r="W45" i="21" s="1"/>
  <c r="X45" i="21" s="1"/>
  <c r="N44" i="21"/>
  <c r="W44" i="21" s="1"/>
  <c r="X44" i="21" s="1"/>
  <c r="N43" i="21"/>
  <c r="W43" i="21" s="1"/>
  <c r="X43" i="21" s="1"/>
  <c r="N42" i="21"/>
  <c r="W42" i="21" s="1"/>
  <c r="X42" i="21" s="1"/>
  <c r="N41" i="21"/>
  <c r="W41" i="21" s="1"/>
  <c r="X41" i="21" s="1"/>
  <c r="N40" i="21"/>
  <c r="W40" i="21" s="1"/>
  <c r="X40" i="21" s="1"/>
  <c r="N39" i="21"/>
  <c r="W39" i="21" s="1"/>
  <c r="X39" i="21" s="1"/>
  <c r="N38" i="21"/>
  <c r="W38" i="21" s="1"/>
  <c r="X38" i="21" s="1"/>
  <c r="N37" i="21"/>
  <c r="W37" i="21" s="1"/>
  <c r="X37" i="21" s="1"/>
  <c r="N36" i="21"/>
  <c r="W36" i="21" s="1"/>
  <c r="X36" i="21" s="1"/>
  <c r="N35" i="21"/>
  <c r="W35" i="21" s="1"/>
  <c r="X35" i="21" s="1"/>
  <c r="N34" i="21"/>
  <c r="N33" i="21"/>
  <c r="N32" i="21"/>
  <c r="N31" i="21"/>
  <c r="N30" i="21"/>
  <c r="W30" i="21" s="1"/>
  <c r="X30" i="21" s="1"/>
  <c r="N29" i="21"/>
  <c r="W29" i="21" s="1"/>
  <c r="X29" i="21" s="1"/>
  <c r="N28" i="21"/>
  <c r="N27" i="21"/>
  <c r="N26" i="21"/>
  <c r="W26" i="21" s="1"/>
  <c r="X26" i="21" s="1"/>
  <c r="N25" i="21"/>
  <c r="N24" i="21"/>
  <c r="N23" i="21"/>
  <c r="N22" i="21"/>
  <c r="N21" i="21"/>
  <c r="N20" i="21"/>
  <c r="N19" i="21"/>
  <c r="W19" i="21" s="1"/>
  <c r="X19" i="21" s="1"/>
  <c r="N18" i="21"/>
  <c r="N17" i="21"/>
  <c r="W17" i="21" s="1"/>
  <c r="X17" i="21" s="1"/>
  <c r="N15" i="21"/>
  <c r="W15" i="21" s="1"/>
  <c r="X15" i="21" s="1"/>
  <c r="N7" i="21"/>
  <c r="W7" i="21" s="1"/>
  <c r="X7" i="21" s="1"/>
  <c r="N8" i="21"/>
  <c r="W8" i="21" s="1"/>
  <c r="X8" i="21" s="1"/>
  <c r="N9" i="21"/>
  <c r="W9" i="21" s="1"/>
  <c r="X9" i="21" s="1"/>
  <c r="N10" i="21"/>
  <c r="N11" i="21"/>
  <c r="W11" i="21" s="1"/>
  <c r="X11" i="21" s="1"/>
  <c r="N6" i="21"/>
  <c r="W6" i="21" s="1"/>
  <c r="X6" i="21" s="1"/>
  <c r="N684" i="20"/>
  <c r="N683" i="20"/>
  <c r="W683" i="20" s="1"/>
  <c r="X683" i="20" s="1"/>
  <c r="N681" i="20"/>
  <c r="N680" i="20"/>
  <c r="N678" i="20"/>
  <c r="N676" i="20"/>
  <c r="W676" i="20" s="1"/>
  <c r="X676" i="20" s="1"/>
  <c r="N674" i="20"/>
  <c r="W674" i="20" s="1"/>
  <c r="X674" i="20" s="1"/>
  <c r="N673" i="20"/>
  <c r="W673" i="20" s="1"/>
  <c r="X673" i="20" s="1"/>
  <c r="N672" i="20"/>
  <c r="N668" i="20"/>
  <c r="W668" i="20" s="1"/>
  <c r="X668" i="20" s="1"/>
  <c r="N667" i="20"/>
  <c r="N665" i="20"/>
  <c r="N664" i="20"/>
  <c r="N663" i="20"/>
  <c r="N661" i="20"/>
  <c r="W661" i="20" s="1"/>
  <c r="X661" i="20" s="1"/>
  <c r="N659" i="20"/>
  <c r="W659" i="20" s="1"/>
  <c r="X659" i="20" s="1"/>
  <c r="N658" i="20"/>
  <c r="W658" i="20" s="1"/>
  <c r="X658" i="20" s="1"/>
  <c r="N657" i="20"/>
  <c r="W657" i="20" s="1"/>
  <c r="X657" i="20" s="1"/>
  <c r="N653" i="20"/>
  <c r="W653" i="20" s="1"/>
  <c r="X653" i="20" s="1"/>
  <c r="N651" i="20"/>
  <c r="N650" i="20"/>
  <c r="N649" i="20"/>
  <c r="N647" i="20"/>
  <c r="N646" i="20"/>
  <c r="N645" i="20"/>
  <c r="N643" i="20"/>
  <c r="N642" i="20"/>
  <c r="N641" i="20"/>
  <c r="N640" i="20"/>
  <c r="N638" i="20"/>
  <c r="N637" i="20"/>
  <c r="W637" i="20" s="1"/>
  <c r="X637" i="20" s="1"/>
  <c r="N634" i="20"/>
  <c r="W634" i="20" s="1"/>
  <c r="X634" i="20" s="1"/>
  <c r="N633" i="20"/>
  <c r="N632" i="20"/>
  <c r="W632" i="20" s="1"/>
  <c r="X632" i="20" s="1"/>
  <c r="N631" i="20"/>
  <c r="W631" i="20" s="1"/>
  <c r="X631" i="20" s="1"/>
  <c r="N630" i="20"/>
  <c r="W630" i="20" s="1"/>
  <c r="X630" i="20" s="1"/>
  <c r="N629" i="20"/>
  <c r="W629" i="20" s="1"/>
  <c r="X629" i="20" s="1"/>
  <c r="N628" i="20"/>
  <c r="N627" i="20"/>
  <c r="N626" i="20"/>
  <c r="N624" i="20"/>
  <c r="N623" i="20"/>
  <c r="N622" i="20"/>
  <c r="N621" i="20"/>
  <c r="N619" i="20"/>
  <c r="N617" i="20"/>
  <c r="N615" i="20"/>
  <c r="N614" i="20"/>
  <c r="W614" i="20" s="1"/>
  <c r="X614" i="20" s="1"/>
  <c r="N613" i="20"/>
  <c r="W613" i="20" s="1"/>
  <c r="X613" i="20" s="1"/>
  <c r="N612" i="20"/>
  <c r="W612" i="20" s="1"/>
  <c r="X612" i="20" s="1"/>
  <c r="N609" i="20"/>
  <c r="N608" i="20"/>
  <c r="W608" i="20" s="1"/>
  <c r="X608" i="20" s="1"/>
  <c r="N604" i="20"/>
  <c r="N603" i="20"/>
  <c r="W603" i="20" s="1"/>
  <c r="X603" i="20" s="1"/>
  <c r="N595" i="20"/>
  <c r="N594" i="20"/>
  <c r="W594" i="20" s="1"/>
  <c r="X594" i="20" s="1"/>
  <c r="N592" i="20"/>
  <c r="N591" i="20"/>
  <c r="W591" i="20" s="1"/>
  <c r="X591" i="20" s="1"/>
  <c r="N590" i="20"/>
  <c r="W590" i="20" s="1"/>
  <c r="X590" i="20" s="1"/>
  <c r="N589" i="20"/>
  <c r="W589" i="20" s="1"/>
  <c r="X589" i="20" s="1"/>
  <c r="N588" i="20"/>
  <c r="N587" i="20"/>
  <c r="W587" i="20" s="1"/>
  <c r="X587" i="20" s="1"/>
  <c r="N586" i="20"/>
  <c r="W586" i="20" s="1"/>
  <c r="X586" i="20" s="1"/>
  <c r="N585" i="20"/>
  <c r="W585" i="20" s="1"/>
  <c r="X585" i="20" s="1"/>
  <c r="N584" i="20"/>
  <c r="N583" i="20"/>
  <c r="W583" i="20" s="1"/>
  <c r="X583" i="20" s="1"/>
  <c r="N582" i="20"/>
  <c r="W582" i="20" s="1"/>
  <c r="X582" i="20" s="1"/>
  <c r="N581" i="20"/>
  <c r="W581" i="20" s="1"/>
  <c r="X581" i="20" s="1"/>
  <c r="N580" i="20"/>
  <c r="N579" i="20"/>
  <c r="W579" i="20" s="1"/>
  <c r="X579" i="20" s="1"/>
  <c r="N578" i="20"/>
  <c r="W578" i="20" s="1"/>
  <c r="X578" i="20" s="1"/>
  <c r="N577" i="20"/>
  <c r="W577" i="20" s="1"/>
  <c r="X577" i="20" s="1"/>
  <c r="N576" i="20"/>
  <c r="N575" i="20"/>
  <c r="W575" i="20" s="1"/>
  <c r="X575" i="20" s="1"/>
  <c r="N574" i="20"/>
  <c r="W574" i="20" s="1"/>
  <c r="X574" i="20" s="1"/>
  <c r="N573" i="20"/>
  <c r="W573" i="20" s="1"/>
  <c r="X573" i="20" s="1"/>
  <c r="N572" i="20"/>
  <c r="N571" i="20"/>
  <c r="W571" i="20" s="1"/>
  <c r="X571" i="20" s="1"/>
  <c r="N570" i="20"/>
  <c r="W570" i="20" s="1"/>
  <c r="X570" i="20" s="1"/>
  <c r="N569" i="20"/>
  <c r="W569" i="20" s="1"/>
  <c r="X569" i="20" s="1"/>
  <c r="N568" i="20"/>
  <c r="W568" i="20" s="1"/>
  <c r="X568" i="20" s="1"/>
  <c r="N567" i="20"/>
  <c r="W567" i="20" s="1"/>
  <c r="X567" i="20" s="1"/>
  <c r="N566" i="20"/>
  <c r="N565" i="20"/>
  <c r="W565" i="20" s="1"/>
  <c r="X565" i="20" s="1"/>
  <c r="N564" i="20"/>
  <c r="W564" i="20" s="1"/>
  <c r="X564" i="20" s="1"/>
  <c r="N563" i="20"/>
  <c r="W563" i="20" s="1"/>
  <c r="X563" i="20" s="1"/>
  <c r="N562" i="20"/>
  <c r="N561" i="20"/>
  <c r="W561" i="20" s="1"/>
  <c r="X561" i="20" s="1"/>
  <c r="N560" i="20"/>
  <c r="N559" i="20"/>
  <c r="W559" i="20" s="1"/>
  <c r="X559" i="20" s="1"/>
  <c r="N558" i="20"/>
  <c r="W558" i="20" s="1"/>
  <c r="X558" i="20" s="1"/>
  <c r="N557" i="20"/>
  <c r="W557" i="20" s="1"/>
  <c r="X557" i="20" s="1"/>
  <c r="N556" i="20"/>
  <c r="W556" i="20" s="1"/>
  <c r="X556" i="20" s="1"/>
  <c r="N555" i="20"/>
  <c r="W555" i="20" s="1"/>
  <c r="X555" i="20" s="1"/>
  <c r="N554" i="20"/>
  <c r="W554" i="20" s="1"/>
  <c r="X554" i="20" s="1"/>
  <c r="N553" i="20"/>
  <c r="W553" i="20" s="1"/>
  <c r="X553" i="20" s="1"/>
  <c r="N552" i="20"/>
  <c r="W552" i="20" s="1"/>
  <c r="X552" i="20" s="1"/>
  <c r="N549" i="20"/>
  <c r="W549" i="20" s="1"/>
  <c r="X549" i="20" s="1"/>
  <c r="N548" i="20"/>
  <c r="W548" i="20" s="1"/>
  <c r="X548" i="20" s="1"/>
  <c r="N547" i="20"/>
  <c r="W547" i="20" s="1"/>
  <c r="X547" i="20" s="1"/>
  <c r="N546" i="20"/>
  <c r="N545" i="20"/>
  <c r="W545" i="20" s="1"/>
  <c r="X545" i="20" s="1"/>
  <c r="N544" i="20"/>
  <c r="N543" i="20"/>
  <c r="W543" i="20" s="1"/>
  <c r="X543" i="20" s="1"/>
  <c r="N542" i="20"/>
  <c r="W542" i="20" s="1"/>
  <c r="X542" i="20" s="1"/>
  <c r="N541" i="20"/>
  <c r="W541" i="20" s="1"/>
  <c r="X541" i="20" s="1"/>
  <c r="N540" i="20"/>
  <c r="W540" i="20" s="1"/>
  <c r="X540" i="20" s="1"/>
  <c r="N539" i="20"/>
  <c r="W539" i="20" s="1"/>
  <c r="X539" i="20" s="1"/>
  <c r="N538" i="20"/>
  <c r="W538" i="20" s="1"/>
  <c r="X538" i="20" s="1"/>
  <c r="N537" i="20"/>
  <c r="W537" i="20" s="1"/>
  <c r="X537" i="20" s="1"/>
  <c r="N536" i="20"/>
  <c r="W536" i="20" s="1"/>
  <c r="X536" i="20" s="1"/>
  <c r="N535" i="20"/>
  <c r="W535" i="20" s="1"/>
  <c r="X535" i="20" s="1"/>
  <c r="N534" i="20"/>
  <c r="W534" i="20" s="1"/>
  <c r="X534" i="20" s="1"/>
  <c r="N533" i="20"/>
  <c r="W533" i="20" s="1"/>
  <c r="X533" i="20" s="1"/>
  <c r="N532" i="20"/>
  <c r="W532" i="20" s="1"/>
  <c r="X532" i="20" s="1"/>
  <c r="N531" i="20"/>
  <c r="W531" i="20" s="1"/>
  <c r="X531" i="20" s="1"/>
  <c r="N530" i="20"/>
  <c r="N529" i="20"/>
  <c r="W529" i="20" s="1"/>
  <c r="X529" i="20" s="1"/>
  <c r="N528" i="20"/>
  <c r="N527" i="20"/>
  <c r="W527" i="20" s="1"/>
  <c r="X527" i="20" s="1"/>
  <c r="N526" i="20"/>
  <c r="W526" i="20" s="1"/>
  <c r="X526" i="20" s="1"/>
  <c r="N525" i="20"/>
  <c r="W525" i="20" s="1"/>
  <c r="X525" i="20" s="1"/>
  <c r="N524" i="20"/>
  <c r="W524" i="20" s="1"/>
  <c r="X524" i="20" s="1"/>
  <c r="N523" i="20"/>
  <c r="W523" i="20" s="1"/>
  <c r="X523" i="20" s="1"/>
  <c r="N522" i="20"/>
  <c r="W522" i="20" s="1"/>
  <c r="X522" i="20" s="1"/>
  <c r="N521" i="20"/>
  <c r="W521" i="20" s="1"/>
  <c r="X521" i="20" s="1"/>
  <c r="N520" i="20"/>
  <c r="W520" i="20" s="1"/>
  <c r="X520" i="20" s="1"/>
  <c r="N519" i="20"/>
  <c r="W519" i="20" s="1"/>
  <c r="X519" i="20" s="1"/>
  <c r="N518" i="20"/>
  <c r="W518" i="20" s="1"/>
  <c r="X518" i="20" s="1"/>
  <c r="N517" i="20"/>
  <c r="W517" i="20" s="1"/>
  <c r="X517" i="20" s="1"/>
  <c r="N516" i="20"/>
  <c r="W516" i="20" s="1"/>
  <c r="X516" i="20" s="1"/>
  <c r="N515" i="20"/>
  <c r="W515" i="20" s="1"/>
  <c r="X515" i="20" s="1"/>
  <c r="N514" i="20"/>
  <c r="W514" i="20" s="1"/>
  <c r="X514" i="20" s="1"/>
  <c r="N513" i="20"/>
  <c r="W513" i="20" s="1"/>
  <c r="X513" i="20" s="1"/>
  <c r="N512" i="20"/>
  <c r="W512" i="20" s="1"/>
  <c r="X512" i="20" s="1"/>
  <c r="N511" i="20"/>
  <c r="W511" i="20" s="1"/>
  <c r="X511" i="20" s="1"/>
  <c r="N510" i="20"/>
  <c r="N509" i="20"/>
  <c r="W509" i="20" s="1"/>
  <c r="X509" i="20" s="1"/>
  <c r="N508" i="20"/>
  <c r="N507" i="20"/>
  <c r="W507" i="20" s="1"/>
  <c r="X507" i="20" s="1"/>
  <c r="N506" i="20"/>
  <c r="W506" i="20" s="1"/>
  <c r="X506" i="20" s="1"/>
  <c r="N505" i="20"/>
  <c r="W505" i="20" s="1"/>
  <c r="X505" i="20" s="1"/>
  <c r="N504" i="20"/>
  <c r="W504" i="20" s="1"/>
  <c r="X504" i="20" s="1"/>
  <c r="N503" i="20"/>
  <c r="W503" i="20" s="1"/>
  <c r="X503" i="20" s="1"/>
  <c r="N502" i="20"/>
  <c r="N501" i="20"/>
  <c r="W501" i="20" s="1"/>
  <c r="X501" i="20" s="1"/>
  <c r="N500" i="20"/>
  <c r="N499" i="20"/>
  <c r="W499" i="20" s="1"/>
  <c r="X499" i="20" s="1"/>
  <c r="N498" i="20"/>
  <c r="W498" i="20" s="1"/>
  <c r="X498" i="20" s="1"/>
  <c r="N497" i="20"/>
  <c r="W497" i="20" s="1"/>
  <c r="X497" i="20" s="1"/>
  <c r="N495" i="20"/>
  <c r="W495" i="20" s="1"/>
  <c r="X495" i="20" s="1"/>
  <c r="N494" i="20"/>
  <c r="W494" i="20" s="1"/>
  <c r="X494" i="20" s="1"/>
  <c r="N493" i="20"/>
  <c r="W493" i="20" s="1"/>
  <c r="X493" i="20" s="1"/>
  <c r="N492" i="20"/>
  <c r="W492" i="20" s="1"/>
  <c r="X492" i="20" s="1"/>
  <c r="N491" i="20"/>
  <c r="N490" i="20"/>
  <c r="W490" i="20" s="1"/>
  <c r="X490" i="20" s="1"/>
  <c r="N489" i="20"/>
  <c r="W489" i="20" s="1"/>
  <c r="X489" i="20" s="1"/>
  <c r="N488" i="20"/>
  <c r="W488" i="20" s="1"/>
  <c r="X488" i="20" s="1"/>
  <c r="N487" i="20"/>
  <c r="W487" i="20" s="1"/>
  <c r="X487" i="20" s="1"/>
  <c r="N486" i="20"/>
  <c r="W486" i="20" s="1"/>
  <c r="X486" i="20" s="1"/>
  <c r="N485" i="20"/>
  <c r="W485" i="20" s="1"/>
  <c r="X485" i="20" s="1"/>
  <c r="N484" i="20"/>
  <c r="W484" i="20" s="1"/>
  <c r="X484" i="20" s="1"/>
  <c r="N483" i="20"/>
  <c r="W483" i="20" s="1"/>
  <c r="X483" i="20" s="1"/>
  <c r="N482" i="20"/>
  <c r="W482" i="20" s="1"/>
  <c r="X482" i="20" s="1"/>
  <c r="N481" i="20"/>
  <c r="N479" i="20"/>
  <c r="W479" i="20" s="1"/>
  <c r="X479" i="20" s="1"/>
  <c r="N449" i="20"/>
  <c r="N448" i="20"/>
  <c r="W448" i="20" s="1"/>
  <c r="X448" i="20" s="1"/>
  <c r="N447" i="20"/>
  <c r="W447" i="20" s="1"/>
  <c r="X447" i="20" s="1"/>
  <c r="N444" i="20"/>
  <c r="W444" i="20" s="1"/>
  <c r="X444" i="20" s="1"/>
  <c r="N406" i="20"/>
  <c r="N405" i="20"/>
  <c r="W405" i="20" s="1"/>
  <c r="X405" i="20" s="1"/>
  <c r="N404" i="20"/>
  <c r="N401" i="20"/>
  <c r="N400" i="20"/>
  <c r="W400" i="20" s="1"/>
  <c r="X400" i="20" s="1"/>
  <c r="N399" i="20"/>
  <c r="W399" i="20" s="1"/>
  <c r="X399" i="20" s="1"/>
  <c r="N398" i="20"/>
  <c r="N396" i="20"/>
  <c r="W396" i="20" s="1"/>
  <c r="X396" i="20" s="1"/>
  <c r="N395" i="20"/>
  <c r="W395" i="20" s="1"/>
  <c r="X395" i="20" s="1"/>
  <c r="N394" i="20"/>
  <c r="W394" i="20" s="1"/>
  <c r="X394" i="20" s="1"/>
  <c r="N393" i="20"/>
  <c r="W393" i="20" s="1"/>
  <c r="X393" i="20" s="1"/>
  <c r="N392" i="20"/>
  <c r="W392" i="20" s="1"/>
  <c r="X392" i="20" s="1"/>
  <c r="N391" i="20"/>
  <c r="N390" i="20"/>
  <c r="W390" i="20" s="1"/>
  <c r="X390" i="20" s="1"/>
  <c r="N389" i="20"/>
  <c r="W389" i="20" s="1"/>
  <c r="X389" i="20" s="1"/>
  <c r="N388" i="20"/>
  <c r="W388" i="20" s="1"/>
  <c r="X388" i="20" s="1"/>
  <c r="N387" i="20"/>
  <c r="N386" i="20"/>
  <c r="W386" i="20" s="1"/>
  <c r="X386" i="20" s="1"/>
  <c r="N385" i="20"/>
  <c r="W385" i="20" s="1"/>
  <c r="X385" i="20" s="1"/>
  <c r="N384" i="20"/>
  <c r="W384" i="20" s="1"/>
  <c r="X384" i="20" s="1"/>
  <c r="N383" i="20"/>
  <c r="W383" i="20" s="1"/>
  <c r="X383" i="20" s="1"/>
  <c r="N382" i="20"/>
  <c r="W382" i="20" s="1"/>
  <c r="X382" i="20" s="1"/>
  <c r="N381" i="20"/>
  <c r="W381" i="20" s="1"/>
  <c r="X381" i="20" s="1"/>
  <c r="N380" i="20"/>
  <c r="W380" i="20" s="1"/>
  <c r="X380" i="20" s="1"/>
  <c r="N379" i="20"/>
  <c r="W379" i="20" s="1"/>
  <c r="X379" i="20" s="1"/>
  <c r="N378" i="20"/>
  <c r="W378" i="20" s="1"/>
  <c r="X378" i="20" s="1"/>
  <c r="N377" i="20"/>
  <c r="W377" i="20" s="1"/>
  <c r="X377" i="20" s="1"/>
  <c r="N376" i="20"/>
  <c r="W376" i="20" s="1"/>
  <c r="X376" i="20" s="1"/>
  <c r="N375" i="20"/>
  <c r="N374" i="20"/>
  <c r="W374" i="20" s="1"/>
  <c r="X374" i="20" s="1"/>
  <c r="N373" i="20"/>
  <c r="W373" i="20" s="1"/>
  <c r="X373" i="20" s="1"/>
  <c r="N372" i="20"/>
  <c r="W372" i="20" s="1"/>
  <c r="X372" i="20" s="1"/>
  <c r="N371" i="20"/>
  <c r="N370" i="20"/>
  <c r="W370" i="20" s="1"/>
  <c r="X370" i="20" s="1"/>
  <c r="N369" i="20"/>
  <c r="W369" i="20" s="1"/>
  <c r="X369" i="20" s="1"/>
  <c r="N367" i="20"/>
  <c r="W367" i="20" s="1"/>
  <c r="X367" i="20" s="1"/>
  <c r="N366" i="20"/>
  <c r="N365" i="20"/>
  <c r="W365" i="20" s="1"/>
  <c r="X365" i="20" s="1"/>
  <c r="N364" i="20"/>
  <c r="N363" i="20"/>
  <c r="W363" i="20" s="1"/>
  <c r="X363" i="20" s="1"/>
  <c r="N362" i="20"/>
  <c r="W362" i="20" s="1"/>
  <c r="X362" i="20" s="1"/>
  <c r="N361" i="20"/>
  <c r="W361" i="20" s="1"/>
  <c r="X361" i="20" s="1"/>
  <c r="N360" i="20"/>
  <c r="W360" i="20" s="1"/>
  <c r="X360" i="20" s="1"/>
  <c r="N359" i="20"/>
  <c r="W359" i="20" s="1"/>
  <c r="X359" i="20" s="1"/>
  <c r="N358" i="20"/>
  <c r="N357" i="20"/>
  <c r="W357" i="20" s="1"/>
  <c r="X357" i="20" s="1"/>
  <c r="N356" i="20"/>
  <c r="N355" i="20"/>
  <c r="W355" i="20" s="1"/>
  <c r="X355" i="20" s="1"/>
  <c r="N354" i="20"/>
  <c r="W354" i="20" s="1"/>
  <c r="X354" i="20" s="1"/>
  <c r="N353" i="20"/>
  <c r="W353" i="20" s="1"/>
  <c r="X353" i="20" s="1"/>
  <c r="N352" i="20"/>
  <c r="W352" i="20" s="1"/>
  <c r="X352" i="20" s="1"/>
  <c r="N351" i="20"/>
  <c r="W351" i="20" s="1"/>
  <c r="X351" i="20" s="1"/>
  <c r="N350" i="20"/>
  <c r="N349" i="20"/>
  <c r="W349" i="20" s="1"/>
  <c r="X349" i="20" s="1"/>
  <c r="N348" i="20"/>
  <c r="N347" i="20"/>
  <c r="W347" i="20" s="1"/>
  <c r="X347" i="20" s="1"/>
  <c r="N346" i="20"/>
  <c r="W346" i="20" s="1"/>
  <c r="X346" i="20" s="1"/>
  <c r="N345" i="20"/>
  <c r="W345" i="20" s="1"/>
  <c r="X345" i="20" s="1"/>
  <c r="N344" i="20"/>
  <c r="W344" i="20" s="1"/>
  <c r="X344" i="20" s="1"/>
  <c r="N343" i="20"/>
  <c r="W343" i="20" s="1"/>
  <c r="X343" i="20" s="1"/>
  <c r="N341" i="20"/>
  <c r="W341" i="20" s="1"/>
  <c r="X341" i="20" s="1"/>
  <c r="N340" i="20"/>
  <c r="W340" i="20" s="1"/>
  <c r="X340" i="20" s="1"/>
  <c r="N338" i="20"/>
  <c r="W338" i="20" s="1"/>
  <c r="X338" i="20" s="1"/>
  <c r="N337" i="20"/>
  <c r="W337" i="20" s="1"/>
  <c r="X337" i="20" s="1"/>
  <c r="N336" i="20"/>
  <c r="W336" i="20" s="1"/>
  <c r="X336" i="20" s="1"/>
  <c r="N335" i="20"/>
  <c r="W335" i="20" s="1"/>
  <c r="X335" i="20" s="1"/>
  <c r="N334" i="20"/>
  <c r="N333" i="20"/>
  <c r="W333" i="20" s="1"/>
  <c r="X333" i="20" s="1"/>
  <c r="N332" i="20"/>
  <c r="N331" i="20"/>
  <c r="W331" i="20" s="1"/>
  <c r="X331" i="20" s="1"/>
  <c r="N330" i="20"/>
  <c r="W330" i="20" s="1"/>
  <c r="X330" i="20" s="1"/>
  <c r="N329" i="20"/>
  <c r="W329" i="20" s="1"/>
  <c r="X329" i="20" s="1"/>
  <c r="N327" i="20"/>
  <c r="N326" i="20"/>
  <c r="W326" i="20" s="1"/>
  <c r="X326" i="20" s="1"/>
  <c r="N325" i="20"/>
  <c r="W325" i="20" s="1"/>
  <c r="X325" i="20" s="1"/>
  <c r="N324" i="20"/>
  <c r="W324" i="20" s="1"/>
  <c r="X324" i="20" s="1"/>
  <c r="N323" i="20"/>
  <c r="W323" i="20" s="1"/>
  <c r="X323" i="20" s="1"/>
  <c r="N322" i="20"/>
  <c r="W322" i="20" s="1"/>
  <c r="X322" i="20" s="1"/>
  <c r="N321" i="20"/>
  <c r="N320" i="20"/>
  <c r="W320" i="20" s="1"/>
  <c r="X320" i="20" s="1"/>
  <c r="N319" i="20"/>
  <c r="W319" i="20" s="1"/>
  <c r="X319" i="20" s="1"/>
  <c r="N318" i="20"/>
  <c r="W318" i="20" s="1"/>
  <c r="X318" i="20" s="1"/>
  <c r="N317" i="20"/>
  <c r="N316" i="20"/>
  <c r="W316" i="20" s="1"/>
  <c r="X316" i="20" s="1"/>
  <c r="N315" i="20"/>
  <c r="N314" i="20"/>
  <c r="W314" i="20" s="1"/>
  <c r="X314" i="20" s="1"/>
  <c r="N313" i="20"/>
  <c r="W313" i="20" s="1"/>
  <c r="X313" i="20" s="1"/>
  <c r="N312" i="20"/>
  <c r="W312" i="20" s="1"/>
  <c r="X312" i="20" s="1"/>
  <c r="N311" i="20"/>
  <c r="W311" i="20" s="1"/>
  <c r="X311" i="20" s="1"/>
  <c r="N310" i="20"/>
  <c r="W310" i="20" s="1"/>
  <c r="X310" i="20" s="1"/>
  <c r="N309" i="20"/>
  <c r="W309" i="20" s="1"/>
  <c r="X309" i="20" s="1"/>
  <c r="N308" i="20"/>
  <c r="W308" i="20" s="1"/>
  <c r="X308" i="20" s="1"/>
  <c r="N306" i="20"/>
  <c r="W306" i="20" s="1"/>
  <c r="X306" i="20" s="1"/>
  <c r="N305" i="20"/>
  <c r="W305" i="20" s="1"/>
  <c r="X305" i="20" s="1"/>
  <c r="N302" i="20"/>
  <c r="N301" i="20"/>
  <c r="W301" i="20" s="1"/>
  <c r="X301" i="20" s="1"/>
  <c r="N300" i="20"/>
  <c r="N298" i="20"/>
  <c r="W298" i="20" s="1"/>
  <c r="X298" i="20" s="1"/>
  <c r="N297" i="20"/>
  <c r="W297" i="20" s="1"/>
  <c r="X297" i="20" s="1"/>
  <c r="N296" i="20"/>
  <c r="W296" i="20" s="1"/>
  <c r="X296" i="20" s="1"/>
  <c r="N295" i="20"/>
  <c r="W295" i="20" s="1"/>
  <c r="X295" i="20" s="1"/>
  <c r="N294" i="20"/>
  <c r="W294" i="20" s="1"/>
  <c r="X294" i="20" s="1"/>
  <c r="N293" i="20"/>
  <c r="W293" i="20" s="1"/>
  <c r="X293" i="20" s="1"/>
  <c r="N292" i="20"/>
  <c r="W292" i="20" s="1"/>
  <c r="X292" i="20" s="1"/>
  <c r="N291" i="20"/>
  <c r="W291" i="20" s="1"/>
  <c r="X291" i="20" s="1"/>
  <c r="N290" i="20"/>
  <c r="W290" i="20" s="1"/>
  <c r="X290" i="20" s="1"/>
  <c r="N289" i="20"/>
  <c r="N288" i="20"/>
  <c r="W288" i="20" s="1"/>
  <c r="X288" i="20" s="1"/>
  <c r="N286" i="20"/>
  <c r="N284" i="20"/>
  <c r="W284" i="20" s="1"/>
  <c r="X284" i="20" s="1"/>
  <c r="N283" i="20"/>
  <c r="N282" i="20"/>
  <c r="W282" i="20" s="1"/>
  <c r="X282" i="20" s="1"/>
  <c r="N281" i="20"/>
  <c r="W281" i="20" s="1"/>
  <c r="X281" i="20" s="1"/>
  <c r="N280" i="20"/>
  <c r="W280" i="20" s="1"/>
  <c r="X280" i="20" s="1"/>
  <c r="N279" i="20"/>
  <c r="W279" i="20" s="1"/>
  <c r="X279" i="20" s="1"/>
  <c r="N278" i="20"/>
  <c r="W278" i="20" s="1"/>
  <c r="X278" i="20" s="1"/>
  <c r="N277" i="20"/>
  <c r="W277" i="20" s="1"/>
  <c r="X277" i="20" s="1"/>
  <c r="N276" i="20"/>
  <c r="W276" i="20" s="1"/>
  <c r="X276" i="20" s="1"/>
  <c r="N275" i="20"/>
  <c r="W275" i="20" s="1"/>
  <c r="X275" i="20" s="1"/>
  <c r="N274" i="20"/>
  <c r="W274" i="20" s="1"/>
  <c r="X274" i="20" s="1"/>
  <c r="N273" i="20"/>
  <c r="W273" i="20" s="1"/>
  <c r="X273" i="20" s="1"/>
  <c r="N270" i="20"/>
  <c r="W270" i="20" s="1"/>
  <c r="X270" i="20" s="1"/>
  <c r="N254" i="20"/>
  <c r="W254" i="20" s="1"/>
  <c r="X254" i="20" s="1"/>
  <c r="N227" i="20"/>
  <c r="W227" i="20" s="1"/>
  <c r="X227" i="20" s="1"/>
  <c r="N226" i="20"/>
  <c r="W226" i="20" s="1"/>
  <c r="X226" i="20" s="1"/>
  <c r="N225" i="20"/>
  <c r="W225" i="20" s="1"/>
  <c r="X225" i="20" s="1"/>
  <c r="N224" i="20"/>
  <c r="W224" i="20" s="1"/>
  <c r="X224" i="20" s="1"/>
  <c r="N221" i="20"/>
  <c r="N220" i="20"/>
  <c r="N219" i="20"/>
  <c r="N218" i="20"/>
  <c r="N217" i="20"/>
  <c r="N216" i="20"/>
  <c r="N215" i="20"/>
  <c r="N213" i="20"/>
  <c r="W213" i="20" s="1"/>
  <c r="X213" i="20" s="1"/>
  <c r="N212" i="20"/>
  <c r="W212" i="20" s="1"/>
  <c r="X212" i="20" s="1"/>
  <c r="N211" i="20"/>
  <c r="W211" i="20" s="1"/>
  <c r="X211" i="20" s="1"/>
  <c r="N210" i="20"/>
  <c r="W210" i="20" s="1"/>
  <c r="X210" i="20" s="1"/>
  <c r="N209" i="20"/>
  <c r="W209" i="20" s="1"/>
  <c r="X209" i="20" s="1"/>
  <c r="N208" i="20"/>
  <c r="W208" i="20" s="1"/>
  <c r="X208" i="20" s="1"/>
  <c r="N207" i="20"/>
  <c r="W207" i="20" s="1"/>
  <c r="X207" i="20" s="1"/>
  <c r="N206" i="20"/>
  <c r="W206" i="20" s="1"/>
  <c r="X206" i="20" s="1"/>
  <c r="N205" i="20"/>
  <c r="W205" i="20" s="1"/>
  <c r="X205" i="20" s="1"/>
  <c r="N204" i="20"/>
  <c r="W204" i="20" s="1"/>
  <c r="X204" i="20" s="1"/>
  <c r="N203" i="20"/>
  <c r="W203" i="20" s="1"/>
  <c r="X203" i="20" s="1"/>
  <c r="N202" i="20"/>
  <c r="W202" i="20" s="1"/>
  <c r="X202" i="20" s="1"/>
  <c r="N201" i="20"/>
  <c r="N200" i="20"/>
  <c r="N199" i="20"/>
  <c r="N198" i="20"/>
  <c r="N197" i="20"/>
  <c r="N196" i="20"/>
  <c r="N195" i="20"/>
  <c r="N194" i="20"/>
  <c r="W194" i="20" s="1"/>
  <c r="X194" i="20" s="1"/>
  <c r="N193" i="20"/>
  <c r="W193" i="20" s="1"/>
  <c r="X193" i="20" s="1"/>
  <c r="N192" i="20"/>
  <c r="W192" i="20" s="1"/>
  <c r="X192" i="20" s="1"/>
  <c r="N191" i="20"/>
  <c r="W191" i="20" s="1"/>
  <c r="X191" i="20" s="1"/>
  <c r="N190" i="20"/>
  <c r="W190" i="20" s="1"/>
  <c r="X190" i="20" s="1"/>
  <c r="N189" i="20"/>
  <c r="W189" i="20" s="1"/>
  <c r="X189" i="20" s="1"/>
  <c r="N187" i="20"/>
  <c r="W187" i="20" s="1"/>
  <c r="X187" i="20" s="1"/>
  <c r="N186" i="20"/>
  <c r="W186" i="20" s="1"/>
  <c r="X186" i="20" s="1"/>
  <c r="N185" i="20"/>
  <c r="W185" i="20" s="1"/>
  <c r="X185" i="20" s="1"/>
  <c r="N184" i="20"/>
  <c r="W184" i="20" s="1"/>
  <c r="X184" i="20" s="1"/>
  <c r="N183" i="20"/>
  <c r="W183" i="20" s="1"/>
  <c r="X183" i="20" s="1"/>
  <c r="N182" i="20"/>
  <c r="W182" i="20" s="1"/>
  <c r="X182" i="20" s="1"/>
  <c r="N181" i="20"/>
  <c r="W181" i="20" s="1"/>
  <c r="X181" i="20" s="1"/>
  <c r="N180" i="20"/>
  <c r="W180" i="20" s="1"/>
  <c r="X180" i="20" s="1"/>
  <c r="N179" i="20"/>
  <c r="W179" i="20" s="1"/>
  <c r="X179" i="20" s="1"/>
  <c r="N178" i="20"/>
  <c r="W178" i="20" s="1"/>
  <c r="X178" i="20" s="1"/>
  <c r="N177" i="20"/>
  <c r="N176" i="20"/>
  <c r="W176" i="20" s="1"/>
  <c r="X176" i="20" s="1"/>
  <c r="N175" i="20"/>
  <c r="W175" i="20" s="1"/>
  <c r="X175" i="20" s="1"/>
  <c r="N174" i="20"/>
  <c r="W174" i="20" s="1"/>
  <c r="X174" i="20" s="1"/>
  <c r="N173" i="20"/>
  <c r="W173" i="20" s="1"/>
  <c r="X173" i="20" s="1"/>
  <c r="N171" i="20"/>
  <c r="W171" i="20" s="1"/>
  <c r="X171" i="20" s="1"/>
  <c r="N170" i="20"/>
  <c r="W170" i="20" s="1"/>
  <c r="X170" i="20" s="1"/>
  <c r="N169" i="20"/>
  <c r="W169" i="20" s="1"/>
  <c r="X169" i="20" s="1"/>
  <c r="N168" i="20"/>
  <c r="W168" i="20" s="1"/>
  <c r="X168" i="20" s="1"/>
  <c r="N167" i="20"/>
  <c r="W167" i="20" s="1"/>
  <c r="X167" i="20" s="1"/>
  <c r="N166" i="20"/>
  <c r="W166" i="20" s="1"/>
  <c r="X166" i="20" s="1"/>
  <c r="N165" i="20"/>
  <c r="W165" i="20" s="1"/>
  <c r="X165" i="20" s="1"/>
  <c r="N164" i="20"/>
  <c r="W164" i="20" s="1"/>
  <c r="X164" i="20" s="1"/>
  <c r="N163" i="20"/>
  <c r="W163" i="20" s="1"/>
  <c r="X163" i="20" s="1"/>
  <c r="N162" i="20"/>
  <c r="W162" i="20" s="1"/>
  <c r="X162" i="20" s="1"/>
  <c r="N161" i="20"/>
  <c r="W161" i="20" s="1"/>
  <c r="X161" i="20" s="1"/>
  <c r="N160" i="20"/>
  <c r="W160" i="20" s="1"/>
  <c r="X160" i="20" s="1"/>
  <c r="N159" i="20"/>
  <c r="W159" i="20" s="1"/>
  <c r="X159" i="20" s="1"/>
  <c r="N158" i="20"/>
  <c r="W158" i="20" s="1"/>
  <c r="X158" i="20" s="1"/>
  <c r="N157" i="20"/>
  <c r="W157" i="20" s="1"/>
  <c r="X157" i="20" s="1"/>
  <c r="N156" i="20"/>
  <c r="W156" i="20" s="1"/>
  <c r="X156" i="20" s="1"/>
  <c r="N155" i="20"/>
  <c r="W155" i="20" s="1"/>
  <c r="X155" i="20" s="1"/>
  <c r="N154" i="20"/>
  <c r="W154" i="20" s="1"/>
  <c r="X154" i="20" s="1"/>
  <c r="N153" i="20"/>
  <c r="W153" i="20" s="1"/>
  <c r="X153" i="20" s="1"/>
  <c r="N152" i="20"/>
  <c r="W152" i="20" s="1"/>
  <c r="X152" i="20" s="1"/>
  <c r="N151" i="20"/>
  <c r="W151" i="20" s="1"/>
  <c r="X151" i="20" s="1"/>
  <c r="N149" i="20"/>
  <c r="W149" i="20" s="1"/>
  <c r="X149" i="20" s="1"/>
  <c r="N148" i="20"/>
  <c r="W148" i="20" s="1"/>
  <c r="X148" i="20" s="1"/>
  <c r="N147" i="20"/>
  <c r="W147" i="20" s="1"/>
  <c r="X147" i="20" s="1"/>
  <c r="N145" i="20"/>
  <c r="W145" i="20" s="1"/>
  <c r="X145" i="20" s="1"/>
  <c r="N144" i="20"/>
  <c r="W144" i="20" s="1"/>
  <c r="X144" i="20" s="1"/>
  <c r="N141" i="20"/>
  <c r="W141" i="20" s="1"/>
  <c r="X141" i="20" s="1"/>
  <c r="N139" i="20"/>
  <c r="N138" i="20"/>
  <c r="N137" i="20"/>
  <c r="N136" i="20"/>
  <c r="N135" i="20"/>
  <c r="N134" i="20"/>
  <c r="N133" i="20"/>
  <c r="N132" i="20"/>
  <c r="N131" i="20"/>
  <c r="N130" i="20"/>
  <c r="N129" i="20"/>
  <c r="N128" i="20"/>
  <c r="N127" i="20"/>
  <c r="N126" i="20"/>
  <c r="N125" i="20"/>
  <c r="N124" i="20"/>
  <c r="N120" i="20"/>
  <c r="W120" i="20" s="1"/>
  <c r="X120" i="20" s="1"/>
  <c r="N119" i="20"/>
  <c r="W119" i="20" s="1"/>
  <c r="X119" i="20" s="1"/>
  <c r="N118" i="20"/>
  <c r="W118" i="20" s="1"/>
  <c r="X118" i="20" s="1"/>
  <c r="N117" i="20"/>
  <c r="W117" i="20" s="1"/>
  <c r="X117" i="20" s="1"/>
  <c r="N116" i="20"/>
  <c r="W116" i="20" s="1"/>
  <c r="X116" i="20" s="1"/>
  <c r="N115" i="20"/>
  <c r="W115" i="20" s="1"/>
  <c r="X115" i="20" s="1"/>
  <c r="N114" i="20"/>
  <c r="W114" i="20" s="1"/>
  <c r="X114" i="20" s="1"/>
  <c r="N113" i="20"/>
  <c r="W113" i="20" s="1"/>
  <c r="X113" i="20" s="1"/>
  <c r="N112" i="20"/>
  <c r="W112" i="20" s="1"/>
  <c r="X112" i="20" s="1"/>
  <c r="N111" i="20"/>
  <c r="W111" i="20" s="1"/>
  <c r="X111" i="20" s="1"/>
  <c r="N109" i="20"/>
  <c r="W109" i="20" s="1"/>
  <c r="X109" i="20" s="1"/>
  <c r="N108" i="20"/>
  <c r="N107" i="20"/>
  <c r="W107" i="20" s="1"/>
  <c r="X107" i="20" s="1"/>
  <c r="N106" i="20"/>
  <c r="W106" i="20" s="1"/>
  <c r="X106" i="20" s="1"/>
  <c r="N102" i="20"/>
  <c r="W102" i="20" s="1"/>
  <c r="X102" i="20" s="1"/>
  <c r="N100" i="20"/>
  <c r="W100" i="20" s="1"/>
  <c r="X100" i="20" s="1"/>
  <c r="N99" i="20"/>
  <c r="W99" i="20" s="1"/>
  <c r="X99" i="20" s="1"/>
  <c r="N98" i="20"/>
  <c r="W98" i="20" s="1"/>
  <c r="X98" i="20" s="1"/>
  <c r="N97" i="20"/>
  <c r="W97" i="20" s="1"/>
  <c r="X97" i="20" s="1"/>
  <c r="N93" i="20"/>
  <c r="N92" i="20"/>
  <c r="N91" i="20"/>
  <c r="N90" i="20"/>
  <c r="W90" i="20" s="1"/>
  <c r="X90" i="20" s="1"/>
  <c r="N89" i="20"/>
  <c r="W89" i="20" s="1"/>
  <c r="X89" i="20" s="1"/>
  <c r="N88" i="20"/>
  <c r="W88" i="20" s="1"/>
  <c r="X88" i="20" s="1"/>
  <c r="N87" i="20"/>
  <c r="W87" i="20" s="1"/>
  <c r="X87" i="20" s="1"/>
  <c r="N86" i="20"/>
  <c r="W86" i="20" s="1"/>
  <c r="X86" i="20" s="1"/>
  <c r="N85" i="20"/>
  <c r="W85" i="20" s="1"/>
  <c r="X85" i="20" s="1"/>
  <c r="N82" i="20"/>
  <c r="W82" i="20" s="1"/>
  <c r="X82" i="20" s="1"/>
  <c r="N81" i="20"/>
  <c r="W81" i="20" s="1"/>
  <c r="X81" i="20" s="1"/>
  <c r="N80" i="20"/>
  <c r="W80" i="20" s="1"/>
  <c r="X80" i="20" s="1"/>
  <c r="N79" i="20"/>
  <c r="W79" i="20" s="1"/>
  <c r="X79" i="20" s="1"/>
  <c r="N78" i="20"/>
  <c r="W78" i="20" s="1"/>
  <c r="X78" i="20" s="1"/>
  <c r="N76" i="20"/>
  <c r="N75" i="20"/>
  <c r="W75" i="20" s="1"/>
  <c r="X75" i="20" s="1"/>
  <c r="N74" i="20"/>
  <c r="W74" i="20" s="1"/>
  <c r="X74" i="20" s="1"/>
  <c r="N73" i="20"/>
  <c r="W73" i="20" s="1"/>
  <c r="X73" i="20" s="1"/>
  <c r="N72" i="20"/>
  <c r="N71" i="20"/>
  <c r="W71" i="20" s="1"/>
  <c r="X71" i="20" s="1"/>
  <c r="N69" i="20"/>
  <c r="W69" i="20" s="1"/>
  <c r="X69" i="20" s="1"/>
  <c r="N68" i="20"/>
  <c r="W68" i="20" s="1"/>
  <c r="X68" i="20" s="1"/>
  <c r="N67" i="20"/>
  <c r="W67" i="20" s="1"/>
  <c r="X67" i="20" s="1"/>
  <c r="N66" i="20"/>
  <c r="W66" i="20" s="1"/>
  <c r="X66" i="20" s="1"/>
  <c r="N65" i="20"/>
  <c r="N64" i="20"/>
  <c r="W64" i="20" s="1"/>
  <c r="X64" i="20" s="1"/>
  <c r="N63" i="20"/>
  <c r="W63" i="20" s="1"/>
  <c r="X63" i="20" s="1"/>
  <c r="N62" i="20"/>
  <c r="W62" i="20" s="1"/>
  <c r="X62" i="20" s="1"/>
  <c r="N61" i="20"/>
  <c r="W61" i="20" s="1"/>
  <c r="X61" i="20" s="1"/>
  <c r="N59" i="20"/>
  <c r="N58" i="20"/>
  <c r="W58" i="20" s="1"/>
  <c r="X58" i="20" s="1"/>
  <c r="N57" i="20"/>
  <c r="W57" i="20" s="1"/>
  <c r="X57" i="20" s="1"/>
  <c r="N56" i="20"/>
  <c r="N55" i="20"/>
  <c r="W55" i="20" s="1"/>
  <c r="X55" i="20" s="1"/>
  <c r="N54" i="20"/>
  <c r="N52" i="20"/>
  <c r="N51" i="20"/>
  <c r="W51" i="20" s="1"/>
  <c r="X51" i="20" s="1"/>
  <c r="N50" i="20"/>
  <c r="W50" i="20" s="1"/>
  <c r="X50" i="20" s="1"/>
  <c r="N49" i="20"/>
  <c r="W49" i="20" s="1"/>
  <c r="X49" i="20" s="1"/>
  <c r="N48" i="20"/>
  <c r="W48" i="20" s="1"/>
  <c r="X48" i="20" s="1"/>
  <c r="N47" i="20"/>
  <c r="W47" i="20" s="1"/>
  <c r="X47" i="20" s="1"/>
  <c r="N46" i="20"/>
  <c r="W46" i="20" s="1"/>
  <c r="X46" i="20" s="1"/>
  <c r="N45" i="20"/>
  <c r="W45" i="20" s="1"/>
  <c r="X45" i="20" s="1"/>
  <c r="N44" i="20"/>
  <c r="W44" i="20" s="1"/>
  <c r="X44" i="20" s="1"/>
  <c r="N43" i="20"/>
  <c r="W43" i="20" s="1"/>
  <c r="X43" i="20" s="1"/>
  <c r="N42" i="20"/>
  <c r="W42" i="20" s="1"/>
  <c r="X42" i="20" s="1"/>
  <c r="N41" i="20"/>
  <c r="N40" i="20"/>
  <c r="W40" i="20" s="1"/>
  <c r="X40" i="20" s="1"/>
  <c r="N39" i="20"/>
  <c r="W39" i="20" s="1"/>
  <c r="X39" i="20" s="1"/>
  <c r="N38" i="20"/>
  <c r="W38" i="20" s="1"/>
  <c r="X38" i="20" s="1"/>
  <c r="N37" i="20"/>
  <c r="W37" i="20" s="1"/>
  <c r="X37" i="20" s="1"/>
  <c r="N36" i="20"/>
  <c r="N34" i="20"/>
  <c r="W34" i="20" s="1"/>
  <c r="X34" i="20" s="1"/>
  <c r="N25" i="20"/>
  <c r="N24" i="20"/>
  <c r="N23" i="20"/>
  <c r="W23" i="20" s="1"/>
  <c r="X23" i="20" s="1"/>
  <c r="N22" i="20"/>
  <c r="N21" i="20"/>
  <c r="W21" i="20" s="1"/>
  <c r="X21" i="20" s="1"/>
  <c r="N19" i="20"/>
  <c r="N10" i="20"/>
  <c r="N9" i="20"/>
  <c r="N7" i="20"/>
  <c r="N8" i="17"/>
  <c r="W8" i="17" s="1"/>
  <c r="X8" i="17" s="1"/>
  <c r="N11" i="17"/>
  <c r="W11" i="17" s="1"/>
  <c r="X11" i="17" s="1"/>
  <c r="N13" i="17"/>
  <c r="N14" i="17"/>
  <c r="W14" i="17" s="1"/>
  <c r="X14" i="17" s="1"/>
  <c r="N15" i="17"/>
  <c r="N16" i="17"/>
  <c r="W16" i="17" s="1"/>
  <c r="X16" i="17" s="1"/>
  <c r="N17" i="17"/>
  <c r="W17" i="17" s="1"/>
  <c r="X17" i="17" s="1"/>
  <c r="N18" i="17"/>
  <c r="W18" i="17" s="1"/>
  <c r="X18" i="17" s="1"/>
  <c r="N19" i="17"/>
  <c r="W19" i="17" s="1"/>
  <c r="X19" i="17" s="1"/>
  <c r="N21" i="17"/>
  <c r="W21" i="17" s="1"/>
  <c r="X21" i="17" s="1"/>
  <c r="N22" i="17"/>
  <c r="W22" i="17" s="1"/>
  <c r="X22" i="17" s="1"/>
  <c r="N26" i="17"/>
  <c r="N28" i="17"/>
  <c r="N29" i="17"/>
  <c r="W29" i="17" s="1"/>
  <c r="X29" i="17" s="1"/>
  <c r="N30" i="17"/>
  <c r="W30" i="17" s="1"/>
  <c r="X30" i="17" s="1"/>
  <c r="N31" i="17"/>
  <c r="W31" i="17" s="1"/>
  <c r="X31" i="17" s="1"/>
  <c r="N32" i="17"/>
  <c r="W32" i="17" s="1"/>
  <c r="X32" i="17" s="1"/>
  <c r="N33" i="17"/>
  <c r="N34" i="17"/>
  <c r="N35" i="17"/>
  <c r="N36" i="17"/>
  <c r="N37" i="17"/>
  <c r="N38" i="17"/>
  <c r="N39" i="17"/>
  <c r="N40" i="17"/>
  <c r="N41" i="17"/>
  <c r="W41" i="17" s="1"/>
  <c r="X41" i="17" s="1"/>
  <c r="N42" i="17"/>
  <c r="W42" i="17" s="1"/>
  <c r="X42" i="17" s="1"/>
  <c r="N43" i="17"/>
  <c r="W43" i="17" s="1"/>
  <c r="X43" i="17" s="1"/>
  <c r="N44" i="17"/>
  <c r="N45" i="17"/>
  <c r="W45" i="17" s="1"/>
  <c r="X45" i="17" s="1"/>
  <c r="N46" i="17"/>
  <c r="N47" i="17"/>
  <c r="N48" i="17"/>
  <c r="N49" i="17"/>
  <c r="N50" i="17"/>
  <c r="N51" i="17"/>
  <c r="N52" i="17"/>
  <c r="W52" i="17" s="1"/>
  <c r="X52" i="17" s="1"/>
  <c r="N7" i="15"/>
  <c r="W7" i="15" s="1"/>
  <c r="X7" i="15" s="1"/>
  <c r="N8" i="15"/>
  <c r="N9" i="15"/>
  <c r="W9" i="15" s="1"/>
  <c r="X9" i="15" s="1"/>
  <c r="N10" i="15"/>
  <c r="N11" i="15"/>
  <c r="N12" i="15"/>
  <c r="N13" i="15"/>
  <c r="W13" i="15" s="1"/>
  <c r="X13" i="15" s="1"/>
  <c r="N14" i="15"/>
  <c r="W14" i="15" s="1"/>
  <c r="X14" i="15" s="1"/>
  <c r="N15" i="15"/>
  <c r="W15" i="15" s="1"/>
  <c r="X15" i="15" s="1"/>
  <c r="N16" i="15"/>
  <c r="W16" i="15" s="1"/>
  <c r="X16" i="15" s="1"/>
  <c r="N17" i="15"/>
  <c r="W17" i="15" s="1"/>
  <c r="X17" i="15" s="1"/>
  <c r="N18" i="15"/>
  <c r="W18" i="15" s="1"/>
  <c r="X18" i="15" s="1"/>
  <c r="N19" i="15"/>
  <c r="W19" i="15" s="1"/>
  <c r="X19" i="15" s="1"/>
  <c r="N20" i="15"/>
  <c r="W20" i="15" s="1"/>
  <c r="X20" i="15" s="1"/>
  <c r="N21" i="15"/>
  <c r="W21" i="15" s="1"/>
  <c r="X21" i="15" s="1"/>
  <c r="N22" i="15"/>
  <c r="W22" i="15" s="1"/>
  <c r="X22" i="15" s="1"/>
  <c r="N23" i="15"/>
  <c r="N24" i="15"/>
  <c r="W24" i="15" s="1"/>
  <c r="X24" i="15" s="1"/>
  <c r="N25" i="15"/>
  <c r="N26" i="15"/>
  <c r="N27" i="15"/>
  <c r="W27" i="15" s="1"/>
  <c r="X27" i="15" s="1"/>
  <c r="N6" i="15"/>
  <c r="J4" i="15"/>
  <c r="N57" i="18"/>
  <c r="N56" i="18"/>
  <c r="N55" i="18"/>
  <c r="N54" i="18"/>
  <c r="N53" i="18"/>
  <c r="N52" i="18"/>
  <c r="N51" i="18"/>
  <c r="N50" i="18"/>
  <c r="N49" i="18"/>
  <c r="N48" i="18"/>
  <c r="N47" i="18"/>
  <c r="N46" i="18"/>
  <c r="N45" i="18"/>
  <c r="N43" i="18"/>
  <c r="N42" i="18"/>
  <c r="N41" i="18"/>
  <c r="N40" i="18"/>
  <c r="W40" i="18" s="1"/>
  <c r="X40" i="18" s="1"/>
  <c r="N39" i="18"/>
  <c r="W39" i="18" s="1"/>
  <c r="X39" i="18" s="1"/>
  <c r="N38" i="18"/>
  <c r="W38" i="18" s="1"/>
  <c r="X38" i="18" s="1"/>
  <c r="N37" i="18"/>
  <c r="W37" i="18" s="1"/>
  <c r="X37" i="18" s="1"/>
  <c r="N36" i="18"/>
  <c r="N35" i="18"/>
  <c r="N33" i="18"/>
  <c r="N32" i="18"/>
  <c r="N31" i="18"/>
  <c r="N30" i="18"/>
  <c r="N29" i="18"/>
  <c r="N28" i="18"/>
  <c r="N27" i="18"/>
  <c r="N26" i="18"/>
  <c r="N25" i="18"/>
  <c r="N24" i="18"/>
  <c r="N23" i="18"/>
  <c r="N22" i="18"/>
  <c r="N21" i="18"/>
  <c r="N20" i="18"/>
  <c r="N19" i="18"/>
  <c r="N18" i="18"/>
  <c r="N17" i="18"/>
  <c r="N16" i="18"/>
  <c r="N15" i="18"/>
  <c r="N14" i="18"/>
  <c r="N13" i="18"/>
  <c r="W13" i="18" s="1"/>
  <c r="X13" i="18" s="1"/>
  <c r="N12" i="18"/>
  <c r="W12" i="18" s="1"/>
  <c r="X12" i="18" s="1"/>
  <c r="N11" i="18"/>
  <c r="W11" i="18" s="1"/>
  <c r="X11" i="18" s="1"/>
  <c r="N10" i="18"/>
  <c r="W10" i="18" s="1"/>
  <c r="X10" i="18" s="1"/>
  <c r="N9" i="18"/>
  <c r="N8" i="18"/>
  <c r="N7" i="18"/>
  <c r="N6" i="18"/>
  <c r="N6" i="19"/>
  <c r="N8" i="19"/>
  <c r="N9" i="19"/>
  <c r="N10" i="19"/>
  <c r="N11" i="19"/>
  <c r="N13" i="19"/>
  <c r="N16" i="19"/>
  <c r="N17" i="19"/>
  <c r="N15" i="19"/>
  <c r="N14" i="19"/>
  <c r="N7" i="19"/>
  <c r="N20" i="19"/>
  <c r="N21" i="19"/>
  <c r="N19" i="19"/>
  <c r="N25" i="19"/>
  <c r="N24" i="19"/>
  <c r="N23" i="19"/>
  <c r="N28" i="19"/>
  <c r="J121" i="19"/>
  <c r="J74" i="19"/>
  <c r="J22" i="19"/>
  <c r="N110" i="19"/>
  <c r="N136" i="19"/>
  <c r="N157" i="19"/>
  <c r="N155" i="19"/>
  <c r="N154" i="19"/>
  <c r="N160" i="19"/>
  <c r="N161" i="19"/>
  <c r="N162" i="19"/>
  <c r="N163" i="19"/>
  <c r="N174" i="19"/>
  <c r="N169" i="19"/>
  <c r="N168" i="19"/>
  <c r="N165" i="19"/>
  <c r="N166" i="19"/>
  <c r="N170" i="19"/>
  <c r="N171" i="19"/>
  <c r="N172" i="19"/>
  <c r="N164" i="19"/>
  <c r="N173" i="19"/>
  <c r="N153" i="19"/>
  <c r="N152" i="19"/>
  <c r="N141" i="19"/>
  <c r="N151" i="19"/>
  <c r="N143" i="19"/>
  <c r="N144" i="19"/>
  <c r="N148" i="19"/>
  <c r="W148" i="19" s="1"/>
  <c r="X148" i="19" s="1"/>
  <c r="N127" i="19"/>
  <c r="N147" i="19"/>
  <c r="N146" i="19"/>
  <c r="N145" i="19"/>
  <c r="N149" i="19"/>
  <c r="N137" i="19"/>
  <c r="N135" i="19"/>
  <c r="N134" i="19"/>
  <c r="N133" i="19"/>
  <c r="N132" i="19"/>
  <c r="N131" i="19"/>
  <c r="N130" i="19"/>
  <c r="N129" i="19"/>
  <c r="N128" i="19"/>
  <c r="N126" i="19"/>
  <c r="N125" i="19"/>
  <c r="N124" i="19"/>
  <c r="N123" i="19"/>
  <c r="N122" i="19"/>
  <c r="N121" i="19"/>
  <c r="N120" i="19"/>
  <c r="N118" i="19"/>
  <c r="N116" i="19"/>
  <c r="N115" i="19"/>
  <c r="N119" i="19"/>
  <c r="N114" i="19"/>
  <c r="N104" i="19"/>
  <c r="N102" i="19"/>
  <c r="N105" i="19"/>
  <c r="N106" i="19"/>
  <c r="N107" i="19"/>
  <c r="N108" i="19"/>
  <c r="N64" i="19"/>
  <c r="N62" i="19"/>
  <c r="N63" i="19"/>
  <c r="N66" i="19"/>
  <c r="N61" i="19"/>
  <c r="N60" i="19"/>
  <c r="N59" i="19"/>
  <c r="N58" i="19"/>
  <c r="N56" i="19"/>
  <c r="N57" i="19"/>
  <c r="N55" i="19"/>
  <c r="N67" i="19"/>
  <c r="N68" i="19"/>
  <c r="N69" i="19"/>
  <c r="N70" i="19"/>
  <c r="N72" i="19"/>
  <c r="N71" i="19"/>
  <c r="N74" i="19"/>
  <c r="N75" i="19"/>
  <c r="N76" i="19"/>
  <c r="N77" i="19"/>
  <c r="N78" i="19"/>
  <c r="N79" i="19"/>
  <c r="N101" i="19"/>
  <c r="N81" i="19"/>
  <c r="N82" i="19"/>
  <c r="N83" i="19"/>
  <c r="N84" i="19"/>
  <c r="N85" i="19"/>
  <c r="N86" i="19"/>
  <c r="N87" i="19"/>
  <c r="N88" i="19"/>
  <c r="N80" i="19"/>
  <c r="N99" i="19"/>
  <c r="N100" i="19"/>
  <c r="N98" i="19"/>
  <c r="N96" i="19"/>
  <c r="N97" i="19"/>
  <c r="N95" i="19"/>
  <c r="N94" i="19"/>
  <c r="N93" i="19"/>
  <c r="N92" i="19"/>
  <c r="N91" i="19"/>
  <c r="N89" i="19"/>
  <c r="N90" i="19"/>
  <c r="N113" i="19"/>
  <c r="N112" i="19"/>
  <c r="N111" i="19"/>
  <c r="N109" i="19"/>
  <c r="N65" i="19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6" i="14"/>
  <c r="H7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36" i="22"/>
  <c r="H37" i="22"/>
  <c r="H38" i="22"/>
  <c r="H39" i="22"/>
  <c r="H40" i="22"/>
  <c r="H41" i="22"/>
  <c r="H42" i="22"/>
  <c r="H43" i="22"/>
  <c r="H44" i="22"/>
  <c r="H45" i="22"/>
  <c r="H46" i="22"/>
  <c r="H47" i="22"/>
  <c r="H48" i="22"/>
  <c r="H49" i="22"/>
  <c r="H50" i="22"/>
  <c r="H51" i="22"/>
  <c r="H52" i="22"/>
  <c r="H53" i="22"/>
  <c r="H54" i="22"/>
  <c r="H55" i="22"/>
  <c r="H56" i="22"/>
  <c r="H57" i="22"/>
  <c r="H58" i="22"/>
  <c r="H59" i="22"/>
  <c r="H60" i="22"/>
  <c r="H61" i="22"/>
  <c r="H62" i="22"/>
  <c r="H63" i="22"/>
  <c r="H64" i="22"/>
  <c r="H65" i="22"/>
  <c r="H66" i="22"/>
  <c r="H67" i="22"/>
  <c r="H68" i="22"/>
  <c r="H69" i="22"/>
  <c r="H70" i="22"/>
  <c r="H71" i="22"/>
  <c r="H72" i="22"/>
  <c r="H73" i="22"/>
  <c r="H74" i="22"/>
  <c r="H75" i="22"/>
  <c r="H76" i="22"/>
  <c r="H77" i="22"/>
  <c r="H78" i="22"/>
  <c r="H79" i="22"/>
  <c r="H80" i="22"/>
  <c r="H81" i="22"/>
  <c r="H82" i="22"/>
  <c r="H83" i="22"/>
  <c r="H84" i="22"/>
  <c r="H85" i="22"/>
  <c r="H86" i="22"/>
  <c r="H87" i="22"/>
  <c r="H88" i="22"/>
  <c r="H6" i="22"/>
  <c r="H112" i="21"/>
  <c r="H111" i="21"/>
  <c r="H110" i="21"/>
  <c r="H109" i="21"/>
  <c r="H108" i="21"/>
  <c r="H107" i="21"/>
  <c r="H106" i="21"/>
  <c r="H105" i="21"/>
  <c r="H104" i="21"/>
  <c r="H103" i="21"/>
  <c r="H102" i="21"/>
  <c r="H101" i="21"/>
  <c r="H100" i="21"/>
  <c r="H99" i="21"/>
  <c r="H98" i="21"/>
  <c r="H97" i="21"/>
  <c r="H96" i="21"/>
  <c r="H95" i="21"/>
  <c r="H94" i="21"/>
  <c r="H93" i="21"/>
  <c r="H92" i="21"/>
  <c r="H91" i="21"/>
  <c r="H90" i="21"/>
  <c r="H89" i="21"/>
  <c r="H88" i="21"/>
  <c r="H87" i="21"/>
  <c r="H86" i="21"/>
  <c r="H85" i="21"/>
  <c r="H84" i="21"/>
  <c r="H83" i="21"/>
  <c r="H82" i="21"/>
  <c r="H81" i="21"/>
  <c r="H80" i="21"/>
  <c r="H79" i="21"/>
  <c r="H78" i="21"/>
  <c r="H77" i="21"/>
  <c r="H76" i="21"/>
  <c r="H75" i="21"/>
  <c r="H74" i="21"/>
  <c r="H73" i="21"/>
  <c r="H72" i="21"/>
  <c r="H71" i="21"/>
  <c r="H70" i="21"/>
  <c r="H69" i="21"/>
  <c r="H68" i="21"/>
  <c r="H67" i="21"/>
  <c r="H66" i="21"/>
  <c r="H65" i="21"/>
  <c r="H64" i="21"/>
  <c r="H63" i="21"/>
  <c r="H62" i="21"/>
  <c r="H61" i="21"/>
  <c r="H60" i="21"/>
  <c r="H59" i="21"/>
  <c r="H58" i="21"/>
  <c r="H57" i="21"/>
  <c r="H56" i="21"/>
  <c r="H55" i="21"/>
  <c r="H54" i="21"/>
  <c r="H53" i="21"/>
  <c r="H52" i="21"/>
  <c r="H51" i="21"/>
  <c r="H50" i="21"/>
  <c r="H49" i="21"/>
  <c r="H48" i="21"/>
  <c r="H47" i="21"/>
  <c r="H46" i="21"/>
  <c r="H45" i="21"/>
  <c r="H44" i="21"/>
  <c r="H43" i="21"/>
  <c r="H42" i="21"/>
  <c r="H41" i="21"/>
  <c r="H40" i="21"/>
  <c r="H39" i="21"/>
  <c r="H38" i="21"/>
  <c r="H37" i="21"/>
  <c r="H36" i="21"/>
  <c r="H35" i="21"/>
  <c r="H34" i="21"/>
  <c r="H33" i="21"/>
  <c r="H32" i="21"/>
  <c r="H31" i="21"/>
  <c r="H30" i="21"/>
  <c r="H29" i="21"/>
  <c r="H28" i="21"/>
  <c r="H27" i="21"/>
  <c r="H26" i="21"/>
  <c r="H25" i="21"/>
  <c r="H24" i="21"/>
  <c r="H23" i="21"/>
  <c r="H22" i="21"/>
  <c r="H21" i="21"/>
  <c r="H20" i="21"/>
  <c r="H19" i="21"/>
  <c r="H18" i="21"/>
  <c r="H17" i="21"/>
  <c r="H16" i="21"/>
  <c r="H15" i="21"/>
  <c r="H14" i="21"/>
  <c r="H13" i="21"/>
  <c r="H12" i="21"/>
  <c r="H11" i="21"/>
  <c r="H10" i="21"/>
  <c r="H9" i="21"/>
  <c r="H8" i="21"/>
  <c r="H7" i="21"/>
  <c r="H6" i="21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41" i="20"/>
  <c r="H42" i="20"/>
  <c r="H43" i="20"/>
  <c r="H44" i="20"/>
  <c r="H45" i="20"/>
  <c r="H46" i="20"/>
  <c r="H47" i="20"/>
  <c r="H48" i="20"/>
  <c r="H49" i="20"/>
  <c r="H50" i="20"/>
  <c r="H51" i="20"/>
  <c r="H52" i="20"/>
  <c r="H53" i="20"/>
  <c r="H54" i="20"/>
  <c r="H55" i="20"/>
  <c r="H56" i="20"/>
  <c r="H57" i="20"/>
  <c r="H58" i="20"/>
  <c r="H59" i="20"/>
  <c r="H60" i="20"/>
  <c r="H61" i="20"/>
  <c r="H62" i="20"/>
  <c r="H63" i="20"/>
  <c r="H64" i="20"/>
  <c r="H65" i="20"/>
  <c r="H66" i="20"/>
  <c r="H67" i="20"/>
  <c r="H68" i="20"/>
  <c r="H69" i="20"/>
  <c r="H71" i="20"/>
  <c r="H72" i="20"/>
  <c r="H73" i="20"/>
  <c r="H74" i="20"/>
  <c r="H75" i="20"/>
  <c r="H76" i="20"/>
  <c r="H77" i="20"/>
  <c r="H78" i="20"/>
  <c r="H79" i="20"/>
  <c r="H80" i="20"/>
  <c r="H81" i="20"/>
  <c r="H82" i="20"/>
  <c r="H83" i="20"/>
  <c r="H84" i="20"/>
  <c r="H85" i="20"/>
  <c r="H86" i="20"/>
  <c r="H87" i="20"/>
  <c r="H88" i="20"/>
  <c r="H89" i="20"/>
  <c r="H90" i="20"/>
  <c r="H91" i="20"/>
  <c r="H92" i="20"/>
  <c r="H93" i="20"/>
  <c r="H94" i="20"/>
  <c r="H95" i="20"/>
  <c r="H96" i="20"/>
  <c r="H97" i="20"/>
  <c r="H98" i="20"/>
  <c r="H99" i="20"/>
  <c r="H100" i="20"/>
  <c r="H101" i="20"/>
  <c r="H102" i="20"/>
  <c r="H103" i="20"/>
  <c r="H104" i="20"/>
  <c r="H105" i="20"/>
  <c r="H106" i="20"/>
  <c r="H107" i="20"/>
  <c r="H108" i="20"/>
  <c r="H109" i="20"/>
  <c r="H110" i="20"/>
  <c r="H111" i="20"/>
  <c r="H112" i="20"/>
  <c r="H113" i="20"/>
  <c r="H114" i="20"/>
  <c r="H115" i="20"/>
  <c r="H116" i="20"/>
  <c r="H117" i="20"/>
  <c r="H118" i="20"/>
  <c r="H119" i="20"/>
  <c r="H120" i="20"/>
  <c r="H121" i="20"/>
  <c r="H122" i="20"/>
  <c r="H123" i="20"/>
  <c r="H124" i="20"/>
  <c r="H125" i="20"/>
  <c r="H126" i="20"/>
  <c r="H127" i="20"/>
  <c r="H128" i="20"/>
  <c r="H129" i="20"/>
  <c r="H130" i="20"/>
  <c r="H131" i="20"/>
  <c r="H132" i="20"/>
  <c r="H133" i="20"/>
  <c r="H134" i="20"/>
  <c r="H135" i="20"/>
  <c r="H136" i="20"/>
  <c r="H137" i="20"/>
  <c r="H138" i="20"/>
  <c r="H139" i="20"/>
  <c r="H140" i="20"/>
  <c r="H141" i="20"/>
  <c r="H142" i="20"/>
  <c r="H143" i="20"/>
  <c r="H144" i="20"/>
  <c r="H145" i="20"/>
  <c r="H146" i="20"/>
  <c r="H147" i="20"/>
  <c r="H148" i="20"/>
  <c r="H149" i="20"/>
  <c r="H150" i="20"/>
  <c r="H151" i="20"/>
  <c r="H152" i="20"/>
  <c r="H153" i="20"/>
  <c r="H154" i="20"/>
  <c r="H155" i="20"/>
  <c r="H156" i="20"/>
  <c r="H157" i="20"/>
  <c r="H158" i="20"/>
  <c r="H159" i="20"/>
  <c r="H160" i="20"/>
  <c r="H161" i="20"/>
  <c r="H162" i="20"/>
  <c r="H163" i="20"/>
  <c r="H164" i="20"/>
  <c r="H165" i="20"/>
  <c r="H166" i="20"/>
  <c r="H167" i="20"/>
  <c r="H168" i="20"/>
  <c r="H169" i="20"/>
  <c r="H170" i="20"/>
  <c r="H171" i="20"/>
  <c r="H172" i="20"/>
  <c r="H173" i="20"/>
  <c r="H174" i="20"/>
  <c r="H175" i="20"/>
  <c r="H176" i="20"/>
  <c r="H177" i="20"/>
  <c r="H178" i="20"/>
  <c r="H179" i="20"/>
  <c r="H180" i="20"/>
  <c r="H181" i="20"/>
  <c r="H182" i="20"/>
  <c r="H183" i="20"/>
  <c r="H184" i="20"/>
  <c r="H185" i="20"/>
  <c r="H186" i="20"/>
  <c r="H187" i="20"/>
  <c r="H188" i="20"/>
  <c r="H189" i="20"/>
  <c r="H190" i="20"/>
  <c r="H191" i="20"/>
  <c r="H192" i="20"/>
  <c r="H193" i="20"/>
  <c r="H194" i="20"/>
  <c r="H195" i="20"/>
  <c r="H196" i="20"/>
  <c r="H197" i="20"/>
  <c r="H198" i="20"/>
  <c r="H199" i="20"/>
  <c r="H200" i="20"/>
  <c r="H201" i="20"/>
  <c r="H202" i="20"/>
  <c r="H203" i="20"/>
  <c r="H204" i="20"/>
  <c r="H205" i="20"/>
  <c r="H206" i="20"/>
  <c r="H207" i="20"/>
  <c r="H208" i="20"/>
  <c r="H209" i="20"/>
  <c r="H210" i="20"/>
  <c r="H211" i="20"/>
  <c r="H212" i="20"/>
  <c r="H213" i="20"/>
  <c r="H214" i="20"/>
  <c r="H215" i="20"/>
  <c r="H216" i="20"/>
  <c r="H217" i="20"/>
  <c r="H218" i="20"/>
  <c r="H219" i="20"/>
  <c r="H220" i="20"/>
  <c r="H221" i="20"/>
  <c r="H222" i="20"/>
  <c r="H223" i="20"/>
  <c r="H224" i="20"/>
  <c r="H225" i="20"/>
  <c r="H226" i="20"/>
  <c r="H227" i="20"/>
  <c r="H228" i="20"/>
  <c r="H229" i="20"/>
  <c r="H230" i="20"/>
  <c r="H231" i="20"/>
  <c r="H232" i="20"/>
  <c r="H233" i="20"/>
  <c r="H234" i="20"/>
  <c r="H235" i="20"/>
  <c r="H236" i="20"/>
  <c r="H237" i="20"/>
  <c r="H238" i="20"/>
  <c r="H239" i="20"/>
  <c r="H240" i="20"/>
  <c r="H241" i="20"/>
  <c r="H242" i="20"/>
  <c r="H243" i="20"/>
  <c r="H244" i="20"/>
  <c r="H245" i="20"/>
  <c r="H246" i="20"/>
  <c r="H247" i="20"/>
  <c r="H248" i="20"/>
  <c r="H249" i="20"/>
  <c r="H250" i="20"/>
  <c r="H251" i="20"/>
  <c r="H252" i="20"/>
  <c r="H253" i="20"/>
  <c r="H254" i="20"/>
  <c r="H255" i="20"/>
  <c r="H256" i="20"/>
  <c r="H257" i="20"/>
  <c r="H258" i="20"/>
  <c r="H259" i="20"/>
  <c r="H260" i="20"/>
  <c r="H261" i="20"/>
  <c r="H262" i="20"/>
  <c r="H263" i="20"/>
  <c r="H264" i="20"/>
  <c r="H265" i="20"/>
  <c r="H266" i="20"/>
  <c r="H267" i="20"/>
  <c r="H268" i="20"/>
  <c r="H269" i="20"/>
  <c r="H270" i="20"/>
  <c r="H271" i="20"/>
  <c r="H272" i="20"/>
  <c r="H273" i="20"/>
  <c r="H274" i="20"/>
  <c r="H275" i="20"/>
  <c r="H276" i="20"/>
  <c r="H277" i="20"/>
  <c r="H278" i="20"/>
  <c r="H279" i="20"/>
  <c r="H280" i="20"/>
  <c r="H281" i="20"/>
  <c r="H282" i="20"/>
  <c r="H283" i="20"/>
  <c r="H284" i="20"/>
  <c r="H285" i="20"/>
  <c r="H286" i="20"/>
  <c r="H287" i="20"/>
  <c r="H288" i="20"/>
  <c r="H289" i="20"/>
  <c r="H290" i="20"/>
  <c r="H291" i="20"/>
  <c r="H292" i="20"/>
  <c r="H293" i="20"/>
  <c r="H294" i="20"/>
  <c r="H295" i="20"/>
  <c r="H296" i="20"/>
  <c r="H297" i="20"/>
  <c r="H298" i="20"/>
  <c r="H299" i="20"/>
  <c r="H300" i="20"/>
  <c r="H301" i="20"/>
  <c r="H302" i="20"/>
  <c r="H303" i="20"/>
  <c r="H304" i="20"/>
  <c r="H305" i="20"/>
  <c r="H306" i="20"/>
  <c r="H307" i="20"/>
  <c r="H308" i="20"/>
  <c r="H309" i="20"/>
  <c r="H310" i="20"/>
  <c r="H311" i="20"/>
  <c r="H312" i="20"/>
  <c r="H313" i="20"/>
  <c r="H314" i="20"/>
  <c r="H315" i="20"/>
  <c r="H316" i="20"/>
  <c r="H317" i="20"/>
  <c r="H318" i="20"/>
  <c r="H319" i="20"/>
  <c r="H320" i="20"/>
  <c r="H321" i="20"/>
  <c r="H322" i="20"/>
  <c r="H323" i="20"/>
  <c r="H324" i="20"/>
  <c r="H325" i="20"/>
  <c r="H326" i="20"/>
  <c r="H327" i="20"/>
  <c r="H328" i="20"/>
  <c r="H329" i="20"/>
  <c r="H330" i="20"/>
  <c r="H331" i="20"/>
  <c r="H332" i="20"/>
  <c r="H333" i="20"/>
  <c r="H334" i="20"/>
  <c r="H335" i="20"/>
  <c r="H336" i="20"/>
  <c r="H337" i="20"/>
  <c r="H338" i="20"/>
  <c r="H339" i="20"/>
  <c r="H340" i="20"/>
  <c r="H341" i="20"/>
  <c r="H342" i="20"/>
  <c r="H343" i="20"/>
  <c r="H344" i="20"/>
  <c r="H345" i="20"/>
  <c r="H346" i="20"/>
  <c r="H347" i="20"/>
  <c r="H348" i="20"/>
  <c r="H349" i="20"/>
  <c r="H350" i="20"/>
  <c r="H351" i="20"/>
  <c r="H352" i="20"/>
  <c r="H353" i="20"/>
  <c r="H354" i="20"/>
  <c r="H355" i="20"/>
  <c r="H356" i="20"/>
  <c r="H357" i="20"/>
  <c r="H358" i="20"/>
  <c r="H359" i="20"/>
  <c r="H360" i="20"/>
  <c r="H361" i="20"/>
  <c r="H362" i="20"/>
  <c r="H363" i="20"/>
  <c r="H364" i="20"/>
  <c r="H365" i="20"/>
  <c r="H366" i="20"/>
  <c r="H367" i="20"/>
  <c r="H368" i="20"/>
  <c r="H369" i="20"/>
  <c r="H370" i="20"/>
  <c r="H371" i="20"/>
  <c r="H372" i="20"/>
  <c r="H373" i="20"/>
  <c r="H374" i="20"/>
  <c r="H375" i="20"/>
  <c r="H376" i="20"/>
  <c r="H377" i="20"/>
  <c r="H378" i="20"/>
  <c r="H379" i="20"/>
  <c r="H380" i="20"/>
  <c r="H381" i="20"/>
  <c r="H382" i="20"/>
  <c r="H383" i="20"/>
  <c r="H384" i="20"/>
  <c r="H385" i="20"/>
  <c r="H386" i="20"/>
  <c r="H387" i="20"/>
  <c r="H388" i="20"/>
  <c r="H389" i="20"/>
  <c r="H390" i="20"/>
  <c r="H391" i="20"/>
  <c r="H392" i="20"/>
  <c r="H393" i="20"/>
  <c r="H394" i="20"/>
  <c r="H395" i="20"/>
  <c r="H396" i="20"/>
  <c r="H397" i="20"/>
  <c r="H398" i="20"/>
  <c r="H399" i="20"/>
  <c r="H400" i="20"/>
  <c r="H401" i="20"/>
  <c r="H402" i="20"/>
  <c r="H403" i="20"/>
  <c r="H404" i="20"/>
  <c r="H405" i="20"/>
  <c r="H406" i="20"/>
  <c r="H407" i="20"/>
  <c r="H408" i="20"/>
  <c r="H409" i="20"/>
  <c r="H410" i="20"/>
  <c r="H411" i="20"/>
  <c r="H412" i="20"/>
  <c r="H413" i="20"/>
  <c r="H414" i="20"/>
  <c r="H415" i="20"/>
  <c r="H416" i="20"/>
  <c r="H417" i="20"/>
  <c r="H418" i="20"/>
  <c r="H419" i="20"/>
  <c r="H420" i="20"/>
  <c r="H421" i="20"/>
  <c r="H422" i="20"/>
  <c r="H423" i="20"/>
  <c r="H424" i="20"/>
  <c r="H425" i="20"/>
  <c r="H426" i="20"/>
  <c r="H427" i="20"/>
  <c r="H428" i="20"/>
  <c r="H429" i="20"/>
  <c r="H430" i="20"/>
  <c r="H431" i="20"/>
  <c r="H432" i="20"/>
  <c r="H433" i="20"/>
  <c r="H434" i="20"/>
  <c r="H435" i="20"/>
  <c r="H436" i="20"/>
  <c r="H437" i="20"/>
  <c r="H438" i="20"/>
  <c r="H439" i="20"/>
  <c r="H440" i="20"/>
  <c r="H441" i="20"/>
  <c r="H442" i="20"/>
  <c r="H443" i="20"/>
  <c r="H444" i="20"/>
  <c r="H445" i="20"/>
  <c r="H446" i="20"/>
  <c r="H447" i="20"/>
  <c r="H448" i="20"/>
  <c r="H449" i="20"/>
  <c r="H450" i="20"/>
  <c r="H451" i="20"/>
  <c r="H452" i="20"/>
  <c r="H453" i="20"/>
  <c r="H454" i="20"/>
  <c r="H455" i="20"/>
  <c r="H456" i="20"/>
  <c r="H457" i="20"/>
  <c r="H458" i="20"/>
  <c r="H459" i="20"/>
  <c r="H460" i="20"/>
  <c r="H461" i="20"/>
  <c r="H462" i="20"/>
  <c r="H463" i="20"/>
  <c r="H464" i="20"/>
  <c r="H465" i="20"/>
  <c r="H466" i="20"/>
  <c r="H467" i="20"/>
  <c r="H468" i="20"/>
  <c r="H469" i="20"/>
  <c r="H470" i="20"/>
  <c r="H471" i="20"/>
  <c r="H472" i="20"/>
  <c r="H473" i="20"/>
  <c r="H474" i="20"/>
  <c r="H475" i="20"/>
  <c r="H476" i="20"/>
  <c r="H477" i="20"/>
  <c r="H478" i="20"/>
  <c r="H479" i="20"/>
  <c r="H480" i="20"/>
  <c r="H481" i="20"/>
  <c r="H482" i="20"/>
  <c r="H483" i="20"/>
  <c r="H484" i="20"/>
  <c r="H485" i="20"/>
  <c r="H486" i="20"/>
  <c r="H487" i="20"/>
  <c r="H488" i="20"/>
  <c r="H489" i="20"/>
  <c r="H490" i="20"/>
  <c r="H491" i="20"/>
  <c r="H492" i="20"/>
  <c r="H493" i="20"/>
  <c r="H494" i="20"/>
  <c r="H495" i="20"/>
  <c r="H496" i="20"/>
  <c r="H497" i="20"/>
  <c r="H498" i="20"/>
  <c r="H499" i="20"/>
  <c r="H500" i="20"/>
  <c r="H501" i="20"/>
  <c r="H502" i="20"/>
  <c r="H503" i="20"/>
  <c r="H504" i="20"/>
  <c r="H505" i="20"/>
  <c r="H506" i="20"/>
  <c r="H507" i="20"/>
  <c r="H508" i="20"/>
  <c r="H509" i="20"/>
  <c r="H510" i="20"/>
  <c r="H511" i="20"/>
  <c r="H512" i="20"/>
  <c r="H513" i="20"/>
  <c r="H514" i="20"/>
  <c r="H515" i="20"/>
  <c r="H516" i="20"/>
  <c r="H517" i="20"/>
  <c r="H518" i="20"/>
  <c r="H519" i="20"/>
  <c r="H520" i="20"/>
  <c r="H521" i="20"/>
  <c r="H522" i="20"/>
  <c r="H523" i="20"/>
  <c r="H524" i="20"/>
  <c r="H525" i="20"/>
  <c r="H526" i="20"/>
  <c r="H527" i="20"/>
  <c r="H528" i="20"/>
  <c r="H529" i="20"/>
  <c r="H530" i="20"/>
  <c r="H531" i="20"/>
  <c r="H532" i="20"/>
  <c r="H533" i="20"/>
  <c r="H534" i="20"/>
  <c r="H535" i="20"/>
  <c r="H536" i="20"/>
  <c r="H537" i="20"/>
  <c r="H538" i="20"/>
  <c r="H539" i="20"/>
  <c r="H540" i="20"/>
  <c r="H541" i="20"/>
  <c r="H542" i="20"/>
  <c r="H543" i="20"/>
  <c r="H544" i="20"/>
  <c r="H545" i="20"/>
  <c r="H546" i="20"/>
  <c r="H547" i="20"/>
  <c r="H548" i="20"/>
  <c r="H549" i="20"/>
  <c r="H550" i="20"/>
  <c r="H551" i="20"/>
  <c r="H552" i="20"/>
  <c r="H553" i="20"/>
  <c r="H554" i="20"/>
  <c r="H555" i="20"/>
  <c r="H556" i="20"/>
  <c r="H557" i="20"/>
  <c r="H558" i="20"/>
  <c r="H559" i="20"/>
  <c r="H560" i="20"/>
  <c r="H561" i="20"/>
  <c r="H562" i="20"/>
  <c r="H563" i="20"/>
  <c r="H564" i="20"/>
  <c r="H565" i="20"/>
  <c r="H566" i="20"/>
  <c r="H567" i="20"/>
  <c r="H568" i="20"/>
  <c r="H569" i="20"/>
  <c r="H570" i="20"/>
  <c r="H571" i="20"/>
  <c r="H572" i="20"/>
  <c r="H573" i="20"/>
  <c r="H574" i="20"/>
  <c r="H575" i="20"/>
  <c r="H576" i="20"/>
  <c r="H577" i="20"/>
  <c r="H578" i="20"/>
  <c r="H579" i="20"/>
  <c r="H580" i="20"/>
  <c r="H581" i="20"/>
  <c r="H582" i="20"/>
  <c r="H583" i="20"/>
  <c r="H584" i="20"/>
  <c r="H585" i="20"/>
  <c r="H586" i="20"/>
  <c r="H587" i="20"/>
  <c r="H588" i="20"/>
  <c r="H589" i="20"/>
  <c r="H590" i="20"/>
  <c r="H591" i="20"/>
  <c r="H592" i="20"/>
  <c r="H593" i="20"/>
  <c r="H594" i="20"/>
  <c r="H595" i="20"/>
  <c r="H596" i="20"/>
  <c r="H597" i="20"/>
  <c r="H598" i="20"/>
  <c r="H599" i="20"/>
  <c r="H600" i="20"/>
  <c r="H601" i="20"/>
  <c r="H602" i="20"/>
  <c r="H603" i="20"/>
  <c r="H604" i="20"/>
  <c r="H605" i="20"/>
  <c r="H606" i="20"/>
  <c r="H607" i="20"/>
  <c r="H608" i="20"/>
  <c r="H609" i="20"/>
  <c r="H610" i="20"/>
  <c r="H611" i="20"/>
  <c r="H612" i="20"/>
  <c r="H613" i="20"/>
  <c r="H614" i="20"/>
  <c r="H615" i="20"/>
  <c r="H616" i="20"/>
  <c r="H617" i="20"/>
  <c r="H618" i="20"/>
  <c r="H619" i="20"/>
  <c r="H620" i="20"/>
  <c r="H621" i="20"/>
  <c r="H622" i="20"/>
  <c r="H623" i="20"/>
  <c r="H624" i="20"/>
  <c r="H625" i="20"/>
  <c r="H626" i="20"/>
  <c r="H627" i="20"/>
  <c r="H628" i="20"/>
  <c r="H629" i="20"/>
  <c r="H630" i="20"/>
  <c r="H631" i="20"/>
  <c r="H632" i="20"/>
  <c r="H633" i="20"/>
  <c r="H634" i="20"/>
  <c r="H635" i="20"/>
  <c r="H636" i="20"/>
  <c r="H637" i="20"/>
  <c r="H638" i="20"/>
  <c r="H639" i="20"/>
  <c r="H640" i="20"/>
  <c r="H641" i="20"/>
  <c r="H642" i="20"/>
  <c r="H643" i="20"/>
  <c r="H644" i="20"/>
  <c r="H645" i="20"/>
  <c r="H646" i="20"/>
  <c r="H647" i="20"/>
  <c r="H648" i="20"/>
  <c r="H649" i="20"/>
  <c r="H650" i="20"/>
  <c r="H651" i="20"/>
  <c r="H652" i="20"/>
  <c r="H653" i="20"/>
  <c r="H654" i="20"/>
  <c r="H655" i="20"/>
  <c r="H656" i="20"/>
  <c r="H657" i="20"/>
  <c r="H658" i="20"/>
  <c r="H659" i="20"/>
  <c r="H660" i="20"/>
  <c r="H661" i="20"/>
  <c r="H662" i="20"/>
  <c r="H663" i="20"/>
  <c r="H664" i="20"/>
  <c r="H665" i="20"/>
  <c r="H666" i="20"/>
  <c r="H667" i="20"/>
  <c r="H668" i="20"/>
  <c r="H669" i="20"/>
  <c r="H670" i="20"/>
  <c r="H671" i="20"/>
  <c r="H672" i="20"/>
  <c r="H673" i="20"/>
  <c r="H674" i="20"/>
  <c r="H675" i="20"/>
  <c r="H676" i="20"/>
  <c r="H677" i="20"/>
  <c r="H678" i="20"/>
  <c r="H679" i="20"/>
  <c r="H680" i="20"/>
  <c r="H681" i="20"/>
  <c r="H682" i="20"/>
  <c r="H683" i="20"/>
  <c r="H684" i="20"/>
  <c r="H6" i="20"/>
  <c r="H7" i="20"/>
  <c r="H12" i="19"/>
  <c r="H11" i="19"/>
  <c r="H10" i="19"/>
  <c r="H9" i="19"/>
  <c r="H8" i="19"/>
  <c r="H6" i="19"/>
  <c r="H53" i="19"/>
  <c r="H7" i="19"/>
  <c r="H14" i="19"/>
  <c r="H15" i="19"/>
  <c r="H17" i="19"/>
  <c r="H16" i="19"/>
  <c r="H18" i="19"/>
  <c r="H19" i="19"/>
  <c r="H21" i="19"/>
  <c r="H20" i="19"/>
  <c r="H22" i="19"/>
  <c r="H23" i="19"/>
  <c r="H24" i="19"/>
  <c r="H25" i="19"/>
  <c r="H26" i="19"/>
  <c r="H27" i="19"/>
  <c r="H44" i="19"/>
  <c r="H43" i="19"/>
  <c r="H42" i="19"/>
  <c r="H40" i="19"/>
  <c r="H41" i="19"/>
  <c r="H38" i="19"/>
  <c r="H39" i="19"/>
  <c r="H37" i="19"/>
  <c r="H35" i="19"/>
  <c r="H34" i="19"/>
  <c r="H33" i="19"/>
  <c r="H45" i="19"/>
  <c r="H47" i="19"/>
  <c r="H48" i="19"/>
  <c r="H49" i="19"/>
  <c r="H50" i="19"/>
  <c r="H46" i="19"/>
  <c r="H51" i="19"/>
  <c r="H52" i="19"/>
  <c r="H29" i="19"/>
  <c r="H36" i="19"/>
  <c r="H30" i="19"/>
  <c r="H31" i="19"/>
  <c r="H32" i="19"/>
  <c r="H28" i="19"/>
  <c r="H65" i="19"/>
  <c r="H64" i="19"/>
  <c r="H62" i="19"/>
  <c r="H63" i="19"/>
  <c r="H66" i="19"/>
  <c r="H61" i="19"/>
  <c r="H60" i="19"/>
  <c r="H59" i="19"/>
  <c r="H58" i="19"/>
  <c r="H56" i="19"/>
  <c r="H57" i="19"/>
  <c r="H55" i="19"/>
  <c r="H67" i="19"/>
  <c r="H68" i="19"/>
  <c r="H69" i="19"/>
  <c r="H70" i="19"/>
  <c r="H72" i="19"/>
  <c r="H71" i="19"/>
  <c r="H73" i="19"/>
  <c r="H74" i="19"/>
  <c r="H75" i="19"/>
  <c r="H76" i="19"/>
  <c r="H77" i="19"/>
  <c r="H78" i="19"/>
  <c r="H79" i="19"/>
  <c r="H101" i="19"/>
  <c r="H81" i="19"/>
  <c r="H82" i="19"/>
  <c r="H83" i="19"/>
  <c r="H84" i="19"/>
  <c r="H85" i="19"/>
  <c r="H86" i="19"/>
  <c r="H87" i="19"/>
  <c r="H88" i="19"/>
  <c r="H80" i="19"/>
  <c r="H99" i="19"/>
  <c r="H100" i="19"/>
  <c r="H98" i="19"/>
  <c r="H96" i="19"/>
  <c r="H97" i="19"/>
  <c r="H95" i="19"/>
  <c r="H94" i="19"/>
  <c r="H93" i="19"/>
  <c r="H92" i="19"/>
  <c r="H91" i="19"/>
  <c r="H89" i="19"/>
  <c r="H90" i="19"/>
  <c r="H113" i="19"/>
  <c r="H112" i="19"/>
  <c r="H111" i="19"/>
  <c r="H109" i="19"/>
  <c r="H110" i="19"/>
  <c r="H108" i="19"/>
  <c r="H107" i="19"/>
  <c r="H106" i="19"/>
  <c r="H105" i="19"/>
  <c r="H102" i="19"/>
  <c r="H104" i="19"/>
  <c r="H114" i="19"/>
  <c r="H119" i="19"/>
  <c r="H115" i="19"/>
  <c r="H116" i="19"/>
  <c r="H117" i="19"/>
  <c r="H118" i="19"/>
  <c r="H120" i="19"/>
  <c r="H121" i="19"/>
  <c r="H122" i="19"/>
  <c r="H123" i="19"/>
  <c r="H124" i="19"/>
  <c r="H125" i="19"/>
  <c r="H126" i="19"/>
  <c r="H150" i="19"/>
  <c r="H128" i="19"/>
  <c r="H129" i="19"/>
  <c r="H130" i="19"/>
  <c r="H131" i="19"/>
  <c r="H132" i="19"/>
  <c r="H133" i="19"/>
  <c r="H134" i="19"/>
  <c r="H135" i="19"/>
  <c r="H136" i="19"/>
  <c r="H137" i="19"/>
  <c r="H149" i="19"/>
  <c r="H145" i="19"/>
  <c r="H146" i="19"/>
  <c r="H147" i="19"/>
  <c r="H127" i="19"/>
  <c r="H148" i="19"/>
  <c r="H144" i="19"/>
  <c r="H143" i="19"/>
  <c r="H142" i="19"/>
  <c r="H151" i="19"/>
  <c r="H141" i="19"/>
  <c r="H140" i="19"/>
  <c r="H138" i="19"/>
  <c r="H139" i="19"/>
  <c r="H152" i="19"/>
  <c r="H153" i="19"/>
  <c r="H173" i="19"/>
  <c r="H164" i="19"/>
  <c r="H172" i="19"/>
  <c r="H171" i="19"/>
  <c r="H170" i="19"/>
  <c r="H166" i="19"/>
  <c r="H165" i="19"/>
  <c r="H168" i="19"/>
  <c r="H167" i="19"/>
  <c r="H169" i="19"/>
  <c r="H174" i="19"/>
  <c r="H163" i="19"/>
  <c r="H162" i="19"/>
  <c r="H161" i="19"/>
  <c r="H160" i="19"/>
  <c r="H154" i="19"/>
  <c r="H155" i="19"/>
  <c r="H157" i="19"/>
  <c r="H156" i="19"/>
  <c r="H158" i="19"/>
  <c r="H159" i="19"/>
  <c r="H13" i="19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40" i="18"/>
  <c r="H41" i="18"/>
  <c r="H42" i="18"/>
  <c r="H43" i="18"/>
  <c r="H44" i="18"/>
  <c r="H45" i="18"/>
  <c r="H46" i="18"/>
  <c r="H47" i="18"/>
  <c r="H48" i="18"/>
  <c r="H49" i="18"/>
  <c r="H50" i="18"/>
  <c r="H51" i="18"/>
  <c r="H52" i="18"/>
  <c r="H53" i="18"/>
  <c r="H54" i="18"/>
  <c r="H55" i="18"/>
  <c r="H56" i="18"/>
  <c r="H57" i="18"/>
  <c r="H6" i="18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6" i="16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6" i="15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7" i="17"/>
  <c r="H8" i="17"/>
  <c r="H9" i="17"/>
  <c r="H6" i="17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6" i="14"/>
  <c r="D7" i="22"/>
  <c r="D8" i="22"/>
  <c r="D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0" i="22"/>
  <c r="D31" i="22"/>
  <c r="D32" i="22"/>
  <c r="D33" i="22"/>
  <c r="D34" i="22"/>
  <c r="D35" i="22"/>
  <c r="D36" i="22"/>
  <c r="D37" i="22"/>
  <c r="D38" i="22"/>
  <c r="D39" i="22"/>
  <c r="D40" i="22"/>
  <c r="D41" i="22"/>
  <c r="D42" i="22"/>
  <c r="D43" i="22"/>
  <c r="D44" i="22"/>
  <c r="D45" i="22"/>
  <c r="D46" i="22"/>
  <c r="D47" i="22"/>
  <c r="D48" i="22"/>
  <c r="D49" i="22"/>
  <c r="D50" i="22"/>
  <c r="D51" i="22"/>
  <c r="D52" i="22"/>
  <c r="D53" i="22"/>
  <c r="D54" i="22"/>
  <c r="D55" i="22"/>
  <c r="D56" i="22"/>
  <c r="D57" i="22"/>
  <c r="D58" i="22"/>
  <c r="D59" i="22"/>
  <c r="D60" i="22"/>
  <c r="D61" i="22"/>
  <c r="D62" i="22"/>
  <c r="D63" i="22"/>
  <c r="D64" i="22"/>
  <c r="D65" i="22"/>
  <c r="D66" i="22"/>
  <c r="D67" i="22"/>
  <c r="D68" i="22"/>
  <c r="D69" i="22"/>
  <c r="D70" i="22"/>
  <c r="D71" i="22"/>
  <c r="D72" i="22"/>
  <c r="D73" i="22"/>
  <c r="D74" i="22"/>
  <c r="D75" i="22"/>
  <c r="D76" i="22"/>
  <c r="D77" i="22"/>
  <c r="D78" i="22"/>
  <c r="D79" i="22"/>
  <c r="D80" i="22"/>
  <c r="D81" i="22"/>
  <c r="D82" i="22"/>
  <c r="D83" i="22"/>
  <c r="D84" i="22"/>
  <c r="D85" i="22"/>
  <c r="D86" i="22"/>
  <c r="D87" i="22"/>
  <c r="D88" i="22"/>
  <c r="D6" i="22"/>
  <c r="D7" i="21"/>
  <c r="D8" i="2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26" i="21"/>
  <c r="D27" i="21"/>
  <c r="D28" i="21"/>
  <c r="D29" i="21"/>
  <c r="D30" i="21"/>
  <c r="D31" i="21"/>
  <c r="D32" i="21"/>
  <c r="D33" i="21"/>
  <c r="D34" i="21"/>
  <c r="D35" i="21"/>
  <c r="D36" i="21"/>
  <c r="D37" i="21"/>
  <c r="D38" i="21"/>
  <c r="D39" i="21"/>
  <c r="D40" i="21"/>
  <c r="D41" i="21"/>
  <c r="D42" i="21"/>
  <c r="D43" i="21"/>
  <c r="D44" i="21"/>
  <c r="D45" i="21"/>
  <c r="D46" i="21"/>
  <c r="D47" i="21"/>
  <c r="D48" i="21"/>
  <c r="D49" i="21"/>
  <c r="D50" i="21"/>
  <c r="D51" i="21"/>
  <c r="D52" i="21"/>
  <c r="D53" i="21"/>
  <c r="D54" i="21"/>
  <c r="D55" i="21"/>
  <c r="D56" i="21"/>
  <c r="D57" i="21"/>
  <c r="D58" i="21"/>
  <c r="D59" i="21"/>
  <c r="D60" i="21"/>
  <c r="D61" i="21"/>
  <c r="D62" i="21"/>
  <c r="D63" i="21"/>
  <c r="D64" i="21"/>
  <c r="D65" i="21"/>
  <c r="D66" i="21"/>
  <c r="D67" i="21"/>
  <c r="D68" i="21"/>
  <c r="D69" i="21"/>
  <c r="D70" i="21"/>
  <c r="D71" i="21"/>
  <c r="D72" i="21"/>
  <c r="D73" i="21"/>
  <c r="D74" i="21"/>
  <c r="D75" i="21"/>
  <c r="D76" i="21"/>
  <c r="D77" i="21"/>
  <c r="D78" i="21"/>
  <c r="D79" i="21"/>
  <c r="D80" i="21"/>
  <c r="D81" i="21"/>
  <c r="D82" i="21"/>
  <c r="D83" i="21"/>
  <c r="D84" i="21"/>
  <c r="D85" i="21"/>
  <c r="D86" i="21"/>
  <c r="D87" i="21"/>
  <c r="D88" i="21"/>
  <c r="D89" i="21"/>
  <c r="D90" i="21"/>
  <c r="D91" i="21"/>
  <c r="D92" i="21"/>
  <c r="D93" i="21"/>
  <c r="D94" i="21"/>
  <c r="D95" i="21"/>
  <c r="D96" i="21"/>
  <c r="D97" i="21"/>
  <c r="D98" i="21"/>
  <c r="D99" i="21"/>
  <c r="D100" i="21"/>
  <c r="D101" i="21"/>
  <c r="D102" i="21"/>
  <c r="D103" i="21"/>
  <c r="D104" i="21"/>
  <c r="D105" i="21"/>
  <c r="D106" i="21"/>
  <c r="D107" i="21"/>
  <c r="D108" i="21"/>
  <c r="D109" i="21"/>
  <c r="D110" i="21"/>
  <c r="D111" i="21"/>
  <c r="D112" i="21"/>
  <c r="D6" i="21"/>
  <c r="D8" i="20"/>
  <c r="D9" i="20"/>
  <c r="D10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D29" i="20"/>
  <c r="D30" i="20"/>
  <c r="D31" i="20"/>
  <c r="D32" i="20"/>
  <c r="D33" i="20"/>
  <c r="D34" i="20"/>
  <c r="D35" i="20"/>
  <c r="D36" i="20"/>
  <c r="D37" i="20"/>
  <c r="D38" i="20"/>
  <c r="D39" i="20"/>
  <c r="D40" i="20"/>
  <c r="D41" i="20"/>
  <c r="D42" i="20"/>
  <c r="D43" i="20"/>
  <c r="D44" i="20"/>
  <c r="D45" i="20"/>
  <c r="D46" i="20"/>
  <c r="D47" i="20"/>
  <c r="D48" i="20"/>
  <c r="D49" i="20"/>
  <c r="D50" i="20"/>
  <c r="D51" i="20"/>
  <c r="D52" i="20"/>
  <c r="D53" i="20"/>
  <c r="D54" i="20"/>
  <c r="D55" i="20"/>
  <c r="D56" i="20"/>
  <c r="D57" i="20"/>
  <c r="D58" i="20"/>
  <c r="D59" i="20"/>
  <c r="D60" i="20"/>
  <c r="D61" i="20"/>
  <c r="D62" i="20"/>
  <c r="D63" i="20"/>
  <c r="D64" i="20"/>
  <c r="D65" i="20"/>
  <c r="D66" i="20"/>
  <c r="D67" i="20"/>
  <c r="D68" i="20"/>
  <c r="D69" i="20"/>
  <c r="D70" i="20"/>
  <c r="D71" i="20"/>
  <c r="D72" i="20"/>
  <c r="D73" i="20"/>
  <c r="D74" i="20"/>
  <c r="D75" i="20"/>
  <c r="D76" i="20"/>
  <c r="D77" i="20"/>
  <c r="D78" i="20"/>
  <c r="D79" i="20"/>
  <c r="D80" i="20"/>
  <c r="D81" i="20"/>
  <c r="D82" i="20"/>
  <c r="D83" i="20"/>
  <c r="D84" i="20"/>
  <c r="D85" i="20"/>
  <c r="D86" i="20"/>
  <c r="D87" i="20"/>
  <c r="D88" i="20"/>
  <c r="D89" i="20"/>
  <c r="D90" i="20"/>
  <c r="D91" i="20"/>
  <c r="D92" i="20"/>
  <c r="D93" i="20"/>
  <c r="D94" i="20"/>
  <c r="D95" i="20"/>
  <c r="D96" i="20"/>
  <c r="D97" i="20"/>
  <c r="D98" i="20"/>
  <c r="D99" i="20"/>
  <c r="D100" i="20"/>
  <c r="D101" i="20"/>
  <c r="D102" i="20"/>
  <c r="D103" i="20"/>
  <c r="D104" i="20"/>
  <c r="D105" i="20"/>
  <c r="D106" i="20"/>
  <c r="D107" i="20"/>
  <c r="D108" i="20"/>
  <c r="D109" i="20"/>
  <c r="D110" i="20"/>
  <c r="D111" i="20"/>
  <c r="D112" i="20"/>
  <c r="D113" i="20"/>
  <c r="D114" i="20"/>
  <c r="D115" i="20"/>
  <c r="D116" i="20"/>
  <c r="D117" i="20"/>
  <c r="D118" i="20"/>
  <c r="D119" i="20"/>
  <c r="D120" i="20"/>
  <c r="D121" i="20"/>
  <c r="D122" i="20"/>
  <c r="D123" i="20"/>
  <c r="D124" i="20"/>
  <c r="D125" i="20"/>
  <c r="D126" i="20"/>
  <c r="D127" i="20"/>
  <c r="D128" i="20"/>
  <c r="D129" i="20"/>
  <c r="D130" i="20"/>
  <c r="D131" i="20"/>
  <c r="D132" i="20"/>
  <c r="D133" i="20"/>
  <c r="D134" i="20"/>
  <c r="D135" i="20"/>
  <c r="D136" i="20"/>
  <c r="D137" i="20"/>
  <c r="D138" i="20"/>
  <c r="D139" i="20"/>
  <c r="D140" i="20"/>
  <c r="D141" i="20"/>
  <c r="D142" i="20"/>
  <c r="D143" i="20"/>
  <c r="D144" i="20"/>
  <c r="D145" i="20"/>
  <c r="D146" i="20"/>
  <c r="D147" i="20"/>
  <c r="D148" i="20"/>
  <c r="D149" i="20"/>
  <c r="D150" i="20"/>
  <c r="D151" i="20"/>
  <c r="D152" i="20"/>
  <c r="D153" i="20"/>
  <c r="D154" i="20"/>
  <c r="D155" i="20"/>
  <c r="D156" i="20"/>
  <c r="D157" i="20"/>
  <c r="D158" i="20"/>
  <c r="D159" i="20"/>
  <c r="D160" i="20"/>
  <c r="D161" i="20"/>
  <c r="D162" i="20"/>
  <c r="D163" i="20"/>
  <c r="D164" i="20"/>
  <c r="D165" i="20"/>
  <c r="D166" i="20"/>
  <c r="D167" i="20"/>
  <c r="D168" i="20"/>
  <c r="D169" i="20"/>
  <c r="D170" i="20"/>
  <c r="D171" i="20"/>
  <c r="D172" i="20"/>
  <c r="D173" i="20"/>
  <c r="D174" i="20"/>
  <c r="D175" i="20"/>
  <c r="D176" i="20"/>
  <c r="D177" i="20"/>
  <c r="D178" i="20"/>
  <c r="D179" i="20"/>
  <c r="D180" i="20"/>
  <c r="D181" i="20"/>
  <c r="D182" i="20"/>
  <c r="D183" i="20"/>
  <c r="D184" i="20"/>
  <c r="D185" i="20"/>
  <c r="D186" i="20"/>
  <c r="D187" i="20"/>
  <c r="D188" i="20"/>
  <c r="D189" i="20"/>
  <c r="D190" i="20"/>
  <c r="D191" i="20"/>
  <c r="D192" i="20"/>
  <c r="D193" i="20"/>
  <c r="D194" i="20"/>
  <c r="D195" i="20"/>
  <c r="D196" i="20"/>
  <c r="D197" i="20"/>
  <c r="D198" i="20"/>
  <c r="D199" i="20"/>
  <c r="D200" i="20"/>
  <c r="D201" i="20"/>
  <c r="D202" i="20"/>
  <c r="D203" i="20"/>
  <c r="D204" i="20"/>
  <c r="D205" i="20"/>
  <c r="D206" i="20"/>
  <c r="D207" i="20"/>
  <c r="D208" i="20"/>
  <c r="D209" i="20"/>
  <c r="D210" i="20"/>
  <c r="D211" i="20"/>
  <c r="D212" i="20"/>
  <c r="D213" i="20"/>
  <c r="D214" i="20"/>
  <c r="D215" i="20"/>
  <c r="D216" i="20"/>
  <c r="D217" i="20"/>
  <c r="D218" i="20"/>
  <c r="D219" i="20"/>
  <c r="D220" i="20"/>
  <c r="D221" i="20"/>
  <c r="D222" i="20"/>
  <c r="D223" i="20"/>
  <c r="D224" i="20"/>
  <c r="D225" i="20"/>
  <c r="D226" i="20"/>
  <c r="D227" i="20"/>
  <c r="D228" i="20"/>
  <c r="D229" i="20"/>
  <c r="D230" i="20"/>
  <c r="D231" i="20"/>
  <c r="D232" i="20"/>
  <c r="D233" i="20"/>
  <c r="D234" i="20"/>
  <c r="D235" i="20"/>
  <c r="D236" i="20"/>
  <c r="D237" i="20"/>
  <c r="D238" i="20"/>
  <c r="D239" i="20"/>
  <c r="D240" i="20"/>
  <c r="D241" i="20"/>
  <c r="D242" i="20"/>
  <c r="D243" i="20"/>
  <c r="D244" i="20"/>
  <c r="D245" i="20"/>
  <c r="D246" i="20"/>
  <c r="D247" i="20"/>
  <c r="D248" i="20"/>
  <c r="D249" i="20"/>
  <c r="D250" i="20"/>
  <c r="D251" i="20"/>
  <c r="D252" i="20"/>
  <c r="D253" i="20"/>
  <c r="D254" i="20"/>
  <c r="D255" i="20"/>
  <c r="D256" i="20"/>
  <c r="D257" i="20"/>
  <c r="D258" i="20"/>
  <c r="D259" i="20"/>
  <c r="D260" i="20"/>
  <c r="D261" i="20"/>
  <c r="D262" i="20"/>
  <c r="D263" i="20"/>
  <c r="D264" i="20"/>
  <c r="D265" i="20"/>
  <c r="D266" i="20"/>
  <c r="D267" i="20"/>
  <c r="D268" i="20"/>
  <c r="D269" i="20"/>
  <c r="D270" i="20"/>
  <c r="D271" i="20"/>
  <c r="D272" i="20"/>
  <c r="D273" i="20"/>
  <c r="D274" i="20"/>
  <c r="D275" i="20"/>
  <c r="D276" i="20"/>
  <c r="D277" i="20"/>
  <c r="D278" i="20"/>
  <c r="D279" i="20"/>
  <c r="D280" i="20"/>
  <c r="D281" i="20"/>
  <c r="D282" i="20"/>
  <c r="D283" i="20"/>
  <c r="D284" i="20"/>
  <c r="D285" i="20"/>
  <c r="D286" i="20"/>
  <c r="D287" i="20"/>
  <c r="D288" i="20"/>
  <c r="D289" i="20"/>
  <c r="D290" i="20"/>
  <c r="D291" i="20"/>
  <c r="D292" i="20"/>
  <c r="D293" i="20"/>
  <c r="D294" i="20"/>
  <c r="D295" i="20"/>
  <c r="D296" i="20"/>
  <c r="D297" i="20"/>
  <c r="D298" i="20"/>
  <c r="D299" i="20"/>
  <c r="D300" i="20"/>
  <c r="D301" i="20"/>
  <c r="D302" i="20"/>
  <c r="D303" i="20"/>
  <c r="D304" i="20"/>
  <c r="D305" i="20"/>
  <c r="D306" i="20"/>
  <c r="D307" i="20"/>
  <c r="D308" i="20"/>
  <c r="D309" i="20"/>
  <c r="D310" i="20"/>
  <c r="D311" i="20"/>
  <c r="D312" i="20"/>
  <c r="D313" i="20"/>
  <c r="D314" i="20"/>
  <c r="D315" i="20"/>
  <c r="D316" i="20"/>
  <c r="D317" i="20"/>
  <c r="D318" i="20"/>
  <c r="D319" i="20"/>
  <c r="D320" i="20"/>
  <c r="D321" i="20"/>
  <c r="D322" i="20"/>
  <c r="D323" i="20"/>
  <c r="D324" i="20"/>
  <c r="D325" i="20"/>
  <c r="D326" i="20"/>
  <c r="D327" i="20"/>
  <c r="D328" i="20"/>
  <c r="D329" i="20"/>
  <c r="D330" i="20"/>
  <c r="D331" i="20"/>
  <c r="D332" i="20"/>
  <c r="D333" i="20"/>
  <c r="D334" i="20"/>
  <c r="D335" i="20"/>
  <c r="D336" i="20"/>
  <c r="D337" i="20"/>
  <c r="D338" i="20"/>
  <c r="D339" i="20"/>
  <c r="D340" i="20"/>
  <c r="D341" i="20"/>
  <c r="D342" i="20"/>
  <c r="D343" i="20"/>
  <c r="D344" i="20"/>
  <c r="D345" i="20"/>
  <c r="D346" i="20"/>
  <c r="D347" i="20"/>
  <c r="D348" i="20"/>
  <c r="D349" i="20"/>
  <c r="D350" i="20"/>
  <c r="D351" i="20"/>
  <c r="D352" i="20"/>
  <c r="D353" i="20"/>
  <c r="D354" i="20"/>
  <c r="D355" i="20"/>
  <c r="D356" i="20"/>
  <c r="D357" i="20"/>
  <c r="D358" i="20"/>
  <c r="D359" i="20"/>
  <c r="D360" i="20"/>
  <c r="D361" i="20"/>
  <c r="D362" i="20"/>
  <c r="D363" i="20"/>
  <c r="D364" i="20"/>
  <c r="D365" i="20"/>
  <c r="D366" i="20"/>
  <c r="D367" i="20"/>
  <c r="D368" i="20"/>
  <c r="D369" i="20"/>
  <c r="D370" i="20"/>
  <c r="D371" i="20"/>
  <c r="D372" i="20"/>
  <c r="D373" i="20"/>
  <c r="D374" i="20"/>
  <c r="D375" i="20"/>
  <c r="D376" i="20"/>
  <c r="D377" i="20"/>
  <c r="D378" i="20"/>
  <c r="D379" i="20"/>
  <c r="D380" i="20"/>
  <c r="D381" i="20"/>
  <c r="D382" i="20"/>
  <c r="D383" i="20"/>
  <c r="D384" i="20"/>
  <c r="D385" i="20"/>
  <c r="D386" i="20"/>
  <c r="D387" i="20"/>
  <c r="D388" i="20"/>
  <c r="D389" i="20"/>
  <c r="D390" i="20"/>
  <c r="D391" i="20"/>
  <c r="D392" i="20"/>
  <c r="D393" i="20"/>
  <c r="D394" i="20"/>
  <c r="D395" i="20"/>
  <c r="D396" i="20"/>
  <c r="D397" i="20"/>
  <c r="D398" i="20"/>
  <c r="D399" i="20"/>
  <c r="D400" i="20"/>
  <c r="D401" i="20"/>
  <c r="D402" i="20"/>
  <c r="D403" i="20"/>
  <c r="D404" i="20"/>
  <c r="D405" i="20"/>
  <c r="D406" i="20"/>
  <c r="D407" i="20"/>
  <c r="D408" i="20"/>
  <c r="D409" i="20"/>
  <c r="D410" i="20"/>
  <c r="D411" i="20"/>
  <c r="D412" i="20"/>
  <c r="D413" i="20"/>
  <c r="D414" i="20"/>
  <c r="D415" i="20"/>
  <c r="D416" i="20"/>
  <c r="D417" i="20"/>
  <c r="D418" i="20"/>
  <c r="D419" i="20"/>
  <c r="D420" i="20"/>
  <c r="D421" i="20"/>
  <c r="D422" i="20"/>
  <c r="D423" i="20"/>
  <c r="D424" i="20"/>
  <c r="D425" i="20"/>
  <c r="D426" i="20"/>
  <c r="D427" i="20"/>
  <c r="D428" i="20"/>
  <c r="D429" i="20"/>
  <c r="D430" i="20"/>
  <c r="D431" i="20"/>
  <c r="D432" i="20"/>
  <c r="D433" i="20"/>
  <c r="D434" i="20"/>
  <c r="D435" i="20"/>
  <c r="D436" i="20"/>
  <c r="D437" i="20"/>
  <c r="D438" i="20"/>
  <c r="D439" i="20"/>
  <c r="D440" i="20"/>
  <c r="D441" i="20"/>
  <c r="D442" i="20"/>
  <c r="D443" i="20"/>
  <c r="D444" i="20"/>
  <c r="D445" i="20"/>
  <c r="D446" i="20"/>
  <c r="D447" i="20"/>
  <c r="D448" i="20"/>
  <c r="D449" i="20"/>
  <c r="D450" i="20"/>
  <c r="D451" i="20"/>
  <c r="D452" i="20"/>
  <c r="D453" i="20"/>
  <c r="D454" i="20"/>
  <c r="D455" i="20"/>
  <c r="D456" i="20"/>
  <c r="D457" i="20"/>
  <c r="D458" i="20"/>
  <c r="D459" i="20"/>
  <c r="D460" i="20"/>
  <c r="D461" i="20"/>
  <c r="D462" i="20"/>
  <c r="D463" i="20"/>
  <c r="D464" i="20"/>
  <c r="D465" i="20"/>
  <c r="D466" i="20"/>
  <c r="D467" i="20"/>
  <c r="D468" i="20"/>
  <c r="D469" i="20"/>
  <c r="D470" i="20"/>
  <c r="D471" i="20"/>
  <c r="D472" i="20"/>
  <c r="D473" i="20"/>
  <c r="D474" i="20"/>
  <c r="D475" i="20"/>
  <c r="D476" i="20"/>
  <c r="D477" i="20"/>
  <c r="D478" i="20"/>
  <c r="D479" i="20"/>
  <c r="D480" i="20"/>
  <c r="D481" i="20"/>
  <c r="D482" i="20"/>
  <c r="D483" i="20"/>
  <c r="D484" i="20"/>
  <c r="D485" i="20"/>
  <c r="D486" i="20"/>
  <c r="D487" i="20"/>
  <c r="D488" i="20"/>
  <c r="D489" i="20"/>
  <c r="D490" i="20"/>
  <c r="D491" i="20"/>
  <c r="D492" i="20"/>
  <c r="D493" i="20"/>
  <c r="D494" i="20"/>
  <c r="D495" i="20"/>
  <c r="D496" i="20"/>
  <c r="D497" i="20"/>
  <c r="D498" i="20"/>
  <c r="D499" i="20"/>
  <c r="D500" i="20"/>
  <c r="D501" i="20"/>
  <c r="D502" i="20"/>
  <c r="D503" i="20"/>
  <c r="D504" i="20"/>
  <c r="D505" i="20"/>
  <c r="D506" i="20"/>
  <c r="D507" i="20"/>
  <c r="D508" i="20"/>
  <c r="D509" i="20"/>
  <c r="D510" i="20"/>
  <c r="D511" i="20"/>
  <c r="D512" i="20"/>
  <c r="D513" i="20"/>
  <c r="D514" i="20"/>
  <c r="D515" i="20"/>
  <c r="D516" i="20"/>
  <c r="D517" i="20"/>
  <c r="D518" i="20"/>
  <c r="D519" i="20"/>
  <c r="D520" i="20"/>
  <c r="D521" i="20"/>
  <c r="D522" i="20"/>
  <c r="D523" i="20"/>
  <c r="D524" i="20"/>
  <c r="D525" i="20"/>
  <c r="D526" i="20"/>
  <c r="D527" i="20"/>
  <c r="D528" i="20"/>
  <c r="D529" i="20"/>
  <c r="D530" i="20"/>
  <c r="D531" i="20"/>
  <c r="D532" i="20"/>
  <c r="D533" i="20"/>
  <c r="D534" i="20"/>
  <c r="D535" i="20"/>
  <c r="D536" i="20"/>
  <c r="D537" i="20"/>
  <c r="D538" i="20"/>
  <c r="D539" i="20"/>
  <c r="D540" i="20"/>
  <c r="D541" i="20"/>
  <c r="D542" i="20"/>
  <c r="D543" i="20"/>
  <c r="D544" i="20"/>
  <c r="D545" i="20"/>
  <c r="D546" i="20"/>
  <c r="D547" i="20"/>
  <c r="D548" i="20"/>
  <c r="D549" i="20"/>
  <c r="D550" i="20"/>
  <c r="D551" i="20"/>
  <c r="D552" i="20"/>
  <c r="D553" i="20"/>
  <c r="D554" i="20"/>
  <c r="D555" i="20"/>
  <c r="D556" i="20"/>
  <c r="D557" i="20"/>
  <c r="D558" i="20"/>
  <c r="D559" i="20"/>
  <c r="D560" i="20"/>
  <c r="D561" i="20"/>
  <c r="D562" i="20"/>
  <c r="D563" i="20"/>
  <c r="D564" i="20"/>
  <c r="D565" i="20"/>
  <c r="D566" i="20"/>
  <c r="D567" i="20"/>
  <c r="D568" i="20"/>
  <c r="D569" i="20"/>
  <c r="D570" i="20"/>
  <c r="D571" i="20"/>
  <c r="D572" i="20"/>
  <c r="D573" i="20"/>
  <c r="D574" i="20"/>
  <c r="D575" i="20"/>
  <c r="D576" i="20"/>
  <c r="D577" i="20"/>
  <c r="D578" i="20"/>
  <c r="D579" i="20"/>
  <c r="D580" i="20"/>
  <c r="D581" i="20"/>
  <c r="D582" i="20"/>
  <c r="D583" i="20"/>
  <c r="D584" i="20"/>
  <c r="D585" i="20"/>
  <c r="D586" i="20"/>
  <c r="D587" i="20"/>
  <c r="D588" i="20"/>
  <c r="D589" i="20"/>
  <c r="D590" i="20"/>
  <c r="D591" i="20"/>
  <c r="D592" i="20"/>
  <c r="D593" i="20"/>
  <c r="D594" i="20"/>
  <c r="D595" i="20"/>
  <c r="D596" i="20"/>
  <c r="D597" i="20"/>
  <c r="D598" i="20"/>
  <c r="D599" i="20"/>
  <c r="D600" i="20"/>
  <c r="D601" i="20"/>
  <c r="D602" i="20"/>
  <c r="D603" i="20"/>
  <c r="D604" i="20"/>
  <c r="D605" i="20"/>
  <c r="D606" i="20"/>
  <c r="D607" i="20"/>
  <c r="D608" i="20"/>
  <c r="D609" i="20"/>
  <c r="D610" i="20"/>
  <c r="D611" i="20"/>
  <c r="D612" i="20"/>
  <c r="D613" i="20"/>
  <c r="D614" i="20"/>
  <c r="D615" i="20"/>
  <c r="D616" i="20"/>
  <c r="D617" i="20"/>
  <c r="D618" i="20"/>
  <c r="D619" i="20"/>
  <c r="D620" i="20"/>
  <c r="D621" i="20"/>
  <c r="D622" i="20"/>
  <c r="D623" i="20"/>
  <c r="D624" i="20"/>
  <c r="D625" i="20"/>
  <c r="D626" i="20"/>
  <c r="D627" i="20"/>
  <c r="D628" i="20"/>
  <c r="D629" i="20"/>
  <c r="D630" i="20"/>
  <c r="D631" i="20"/>
  <c r="D632" i="20"/>
  <c r="D633" i="20"/>
  <c r="D634" i="20"/>
  <c r="D635" i="20"/>
  <c r="D636" i="20"/>
  <c r="D637" i="20"/>
  <c r="D638" i="20"/>
  <c r="D639" i="20"/>
  <c r="D640" i="20"/>
  <c r="D641" i="20"/>
  <c r="D642" i="20"/>
  <c r="D643" i="20"/>
  <c r="D644" i="20"/>
  <c r="D645" i="20"/>
  <c r="D646" i="20"/>
  <c r="D647" i="20"/>
  <c r="D648" i="20"/>
  <c r="D649" i="20"/>
  <c r="D650" i="20"/>
  <c r="D651" i="20"/>
  <c r="D652" i="20"/>
  <c r="D653" i="20"/>
  <c r="D654" i="20"/>
  <c r="D655" i="20"/>
  <c r="D656" i="20"/>
  <c r="D657" i="20"/>
  <c r="D658" i="20"/>
  <c r="D659" i="20"/>
  <c r="D660" i="20"/>
  <c r="D661" i="20"/>
  <c r="D662" i="20"/>
  <c r="D663" i="20"/>
  <c r="D664" i="20"/>
  <c r="D665" i="20"/>
  <c r="D666" i="20"/>
  <c r="D667" i="20"/>
  <c r="D668" i="20"/>
  <c r="D669" i="20"/>
  <c r="D670" i="20"/>
  <c r="D671" i="20"/>
  <c r="D672" i="20"/>
  <c r="D673" i="20"/>
  <c r="D674" i="20"/>
  <c r="D675" i="20"/>
  <c r="D676" i="20"/>
  <c r="D677" i="20"/>
  <c r="D678" i="20"/>
  <c r="D679" i="20"/>
  <c r="D680" i="20"/>
  <c r="D681" i="20"/>
  <c r="D682" i="20"/>
  <c r="D683" i="20"/>
  <c r="D684" i="20"/>
  <c r="D7" i="20"/>
  <c r="D12" i="19"/>
  <c r="D11" i="19"/>
  <c r="D10" i="19"/>
  <c r="D9" i="19"/>
  <c r="D8" i="19"/>
  <c r="D6" i="19"/>
  <c r="D53" i="19"/>
  <c r="D7" i="19"/>
  <c r="D14" i="19"/>
  <c r="D15" i="19"/>
  <c r="D17" i="19"/>
  <c r="D16" i="19"/>
  <c r="D18" i="19"/>
  <c r="D19" i="19"/>
  <c r="D21" i="19"/>
  <c r="D20" i="19"/>
  <c r="D22" i="19"/>
  <c r="D23" i="19"/>
  <c r="D24" i="19"/>
  <c r="D25" i="19"/>
  <c r="D26" i="19"/>
  <c r="D27" i="19"/>
  <c r="D44" i="19"/>
  <c r="D43" i="19"/>
  <c r="D42" i="19"/>
  <c r="D40" i="19"/>
  <c r="D41" i="19"/>
  <c r="D38" i="19"/>
  <c r="D39" i="19"/>
  <c r="D37" i="19"/>
  <c r="D35" i="19"/>
  <c r="D34" i="19"/>
  <c r="D33" i="19"/>
  <c r="D45" i="19"/>
  <c r="D47" i="19"/>
  <c r="D48" i="19"/>
  <c r="D49" i="19"/>
  <c r="D50" i="19"/>
  <c r="D46" i="19"/>
  <c r="D51" i="19"/>
  <c r="D52" i="19"/>
  <c r="D29" i="19"/>
  <c r="D36" i="19"/>
  <c r="D30" i="19"/>
  <c r="D31" i="19"/>
  <c r="D32" i="19"/>
  <c r="D28" i="19"/>
  <c r="D65" i="19"/>
  <c r="D64" i="19"/>
  <c r="D62" i="19"/>
  <c r="D63" i="19"/>
  <c r="D66" i="19"/>
  <c r="D61" i="19"/>
  <c r="D60" i="19"/>
  <c r="D59" i="19"/>
  <c r="D58" i="19"/>
  <c r="D56" i="19"/>
  <c r="D57" i="19"/>
  <c r="D55" i="19"/>
  <c r="D67" i="19"/>
  <c r="D68" i="19"/>
  <c r="D69" i="19"/>
  <c r="D70" i="19"/>
  <c r="D72" i="19"/>
  <c r="D71" i="19"/>
  <c r="D73" i="19"/>
  <c r="D74" i="19"/>
  <c r="D75" i="19"/>
  <c r="D76" i="19"/>
  <c r="D77" i="19"/>
  <c r="D78" i="19"/>
  <c r="D79" i="19"/>
  <c r="D101" i="19"/>
  <c r="D81" i="19"/>
  <c r="D82" i="19"/>
  <c r="D83" i="19"/>
  <c r="D84" i="19"/>
  <c r="D85" i="19"/>
  <c r="D86" i="19"/>
  <c r="D87" i="19"/>
  <c r="D88" i="19"/>
  <c r="D80" i="19"/>
  <c r="D99" i="19"/>
  <c r="D100" i="19"/>
  <c r="D98" i="19"/>
  <c r="D96" i="19"/>
  <c r="D97" i="19"/>
  <c r="D95" i="19"/>
  <c r="D94" i="19"/>
  <c r="D93" i="19"/>
  <c r="D92" i="19"/>
  <c r="D91" i="19"/>
  <c r="D89" i="19"/>
  <c r="D90" i="19"/>
  <c r="D113" i="19"/>
  <c r="D112" i="19"/>
  <c r="D111" i="19"/>
  <c r="D109" i="19"/>
  <c r="D110" i="19"/>
  <c r="D108" i="19"/>
  <c r="D107" i="19"/>
  <c r="D106" i="19"/>
  <c r="D105" i="19"/>
  <c r="D102" i="19"/>
  <c r="D104" i="19"/>
  <c r="D114" i="19"/>
  <c r="D119" i="19"/>
  <c r="D115" i="19"/>
  <c r="D116" i="19"/>
  <c r="D117" i="19"/>
  <c r="D118" i="19"/>
  <c r="D120" i="19"/>
  <c r="D121" i="19"/>
  <c r="D122" i="19"/>
  <c r="D123" i="19"/>
  <c r="D124" i="19"/>
  <c r="D125" i="19"/>
  <c r="D126" i="19"/>
  <c r="D150" i="19"/>
  <c r="D128" i="19"/>
  <c r="D129" i="19"/>
  <c r="D130" i="19"/>
  <c r="D131" i="19"/>
  <c r="D132" i="19"/>
  <c r="D133" i="19"/>
  <c r="D134" i="19"/>
  <c r="D135" i="19"/>
  <c r="D136" i="19"/>
  <c r="D137" i="19"/>
  <c r="D149" i="19"/>
  <c r="D145" i="19"/>
  <c r="D146" i="19"/>
  <c r="D147" i="19"/>
  <c r="D127" i="19"/>
  <c r="D148" i="19"/>
  <c r="D144" i="19"/>
  <c r="D143" i="19"/>
  <c r="D142" i="19"/>
  <c r="D151" i="19"/>
  <c r="D141" i="19"/>
  <c r="D140" i="19"/>
  <c r="D138" i="19"/>
  <c r="D139" i="19"/>
  <c r="D152" i="19"/>
  <c r="D153" i="19"/>
  <c r="D173" i="19"/>
  <c r="D164" i="19"/>
  <c r="D172" i="19"/>
  <c r="D171" i="19"/>
  <c r="D170" i="19"/>
  <c r="D166" i="19"/>
  <c r="D165" i="19"/>
  <c r="D168" i="19"/>
  <c r="D167" i="19"/>
  <c r="D169" i="19"/>
  <c r="D174" i="19"/>
  <c r="D163" i="19"/>
  <c r="D162" i="19"/>
  <c r="D161" i="19"/>
  <c r="D160" i="19"/>
  <c r="D154" i="19"/>
  <c r="D155" i="19"/>
  <c r="D157" i="19"/>
  <c r="D156" i="19"/>
  <c r="D158" i="19"/>
  <c r="D159" i="19"/>
  <c r="D13" i="19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6" i="18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6" i="16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6" i="15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6" i="17"/>
  <c r="Y4" i="17" l="1"/>
  <c r="E10" i="12" s="1"/>
  <c r="F10" i="12" s="1"/>
  <c r="Y4" i="21"/>
  <c r="E16" i="12" s="1"/>
  <c r="F16" i="12" s="1"/>
  <c r="W101" i="21"/>
  <c r="X101" i="21" s="1"/>
  <c r="W103" i="21"/>
  <c r="X103" i="21" s="1"/>
  <c r="W105" i="21"/>
  <c r="X105" i="21" s="1"/>
  <c r="W109" i="21"/>
  <c r="X109" i="21" s="1"/>
  <c r="W111" i="21"/>
  <c r="X111" i="21" s="1"/>
  <c r="W13" i="22"/>
  <c r="X13" i="22" s="1"/>
  <c r="W16" i="22"/>
  <c r="X16" i="22" s="1"/>
  <c r="W20" i="22"/>
  <c r="X20" i="22" s="1"/>
  <c r="W24" i="22"/>
  <c r="X24" i="22" s="1"/>
  <c r="W26" i="22"/>
  <c r="X26" i="22" s="1"/>
  <c r="W28" i="22"/>
  <c r="X28" i="22" s="1"/>
  <c r="W33" i="22"/>
  <c r="X33" i="22" s="1"/>
  <c r="W35" i="22"/>
  <c r="X35" i="22" s="1"/>
  <c r="W39" i="22"/>
  <c r="X39" i="22" s="1"/>
  <c r="W41" i="22"/>
  <c r="X41" i="22" s="1"/>
  <c r="W47" i="22"/>
  <c r="X47" i="22" s="1"/>
  <c r="W49" i="22"/>
  <c r="X49" i="22" s="1"/>
  <c r="W51" i="22"/>
  <c r="X51" i="22" s="1"/>
  <c r="W57" i="22"/>
  <c r="X57" i="22" s="1"/>
  <c r="W59" i="22"/>
  <c r="X59" i="22" s="1"/>
  <c r="W61" i="22"/>
  <c r="X61" i="22" s="1"/>
  <c r="W63" i="22"/>
  <c r="X63" i="22" s="1"/>
  <c r="W65" i="22"/>
  <c r="X65" i="22" s="1"/>
  <c r="W67" i="22"/>
  <c r="X67" i="22" s="1"/>
  <c r="W69" i="22"/>
  <c r="X69" i="22" s="1"/>
  <c r="W71" i="22"/>
  <c r="X71" i="22" s="1"/>
  <c r="W74" i="22"/>
  <c r="X74" i="22" s="1"/>
  <c r="W76" i="22"/>
  <c r="X76" i="22" s="1"/>
  <c r="W80" i="22"/>
  <c r="X80" i="22" s="1"/>
  <c r="W85" i="22"/>
  <c r="X85" i="22" s="1"/>
  <c r="W87" i="22"/>
  <c r="X87" i="22" s="1"/>
  <c r="W52" i="22"/>
  <c r="X52" i="22" s="1"/>
  <c r="W56" i="22"/>
  <c r="X56" i="22" s="1"/>
  <c r="W62" i="22"/>
  <c r="X62" i="22" s="1"/>
  <c r="W64" i="22"/>
  <c r="X64" i="22" s="1"/>
  <c r="W68" i="22"/>
  <c r="X68" i="22" s="1"/>
  <c r="W75" i="22"/>
  <c r="X75" i="22" s="1"/>
  <c r="W79" i="22"/>
  <c r="X79" i="22" s="1"/>
  <c r="W81" i="22"/>
  <c r="X81" i="22" s="1"/>
  <c r="W84" i="22"/>
  <c r="X84" i="22" s="1"/>
  <c r="W86" i="22"/>
  <c r="X86" i="22" s="1"/>
  <c r="W88" i="22"/>
  <c r="X88" i="22" s="1"/>
  <c r="Y4" i="22"/>
  <c r="E17" i="12" s="1"/>
  <c r="F17" i="12" s="1"/>
  <c r="W22" i="20"/>
  <c r="X22" i="20" s="1"/>
  <c r="W24" i="20"/>
  <c r="X24" i="20" s="1"/>
  <c r="W41" i="20"/>
  <c r="X41" i="20" s="1"/>
  <c r="W54" i="20"/>
  <c r="X54" i="20" s="1"/>
  <c r="W56" i="20"/>
  <c r="X56" i="20" s="1"/>
  <c r="W65" i="20"/>
  <c r="X65" i="20" s="1"/>
  <c r="W72" i="20"/>
  <c r="X72" i="20" s="1"/>
  <c r="W76" i="20"/>
  <c r="X76" i="20" s="1"/>
  <c r="W108" i="20"/>
  <c r="X108" i="20" s="1"/>
  <c r="W283" i="20"/>
  <c r="X283" i="20" s="1"/>
  <c r="W286" i="20"/>
  <c r="X286" i="20" s="1"/>
  <c r="W289" i="20"/>
  <c r="X289" i="20" s="1"/>
  <c r="W300" i="20"/>
  <c r="X300" i="20" s="1"/>
  <c r="W302" i="20"/>
  <c r="X302" i="20" s="1"/>
  <c r="W315" i="20"/>
  <c r="X315" i="20" s="1"/>
  <c r="W317" i="20"/>
  <c r="X317" i="20" s="1"/>
  <c r="W321" i="20"/>
  <c r="X321" i="20" s="1"/>
  <c r="W327" i="20"/>
  <c r="X327" i="20" s="1"/>
  <c r="W332" i="20"/>
  <c r="X332" i="20" s="1"/>
  <c r="W334" i="20"/>
  <c r="X334" i="20" s="1"/>
  <c r="W348" i="20"/>
  <c r="X348" i="20" s="1"/>
  <c r="W350" i="20"/>
  <c r="X350" i="20" s="1"/>
  <c r="W356" i="20"/>
  <c r="X356" i="20" s="1"/>
  <c r="W358" i="20"/>
  <c r="X358" i="20" s="1"/>
  <c r="W364" i="20"/>
  <c r="X364" i="20" s="1"/>
  <c r="W366" i="20"/>
  <c r="X366" i="20" s="1"/>
  <c r="W371" i="20"/>
  <c r="X371" i="20" s="1"/>
  <c r="W375" i="20"/>
  <c r="X375" i="20" s="1"/>
  <c r="W387" i="20"/>
  <c r="X387" i="20" s="1"/>
  <c r="W391" i="20"/>
  <c r="X391" i="20" s="1"/>
  <c r="W398" i="20"/>
  <c r="X398" i="20" s="1"/>
  <c r="W404" i="20"/>
  <c r="X404" i="20" s="1"/>
  <c r="W406" i="20"/>
  <c r="X406" i="20" s="1"/>
  <c r="W449" i="20"/>
  <c r="X449" i="20" s="1"/>
  <c r="W481" i="20"/>
  <c r="X481" i="20" s="1"/>
  <c r="W491" i="20"/>
  <c r="X491" i="20" s="1"/>
  <c r="W500" i="20"/>
  <c r="X500" i="20" s="1"/>
  <c r="W502" i="20"/>
  <c r="X502" i="20" s="1"/>
  <c r="W508" i="20"/>
  <c r="X508" i="20" s="1"/>
  <c r="W510" i="20"/>
  <c r="X510" i="20" s="1"/>
  <c r="W528" i="20"/>
  <c r="X528" i="20" s="1"/>
  <c r="W530" i="20"/>
  <c r="X530" i="20" s="1"/>
  <c r="W544" i="20"/>
  <c r="X544" i="20" s="1"/>
  <c r="W546" i="20"/>
  <c r="X546" i="20" s="1"/>
  <c r="W560" i="20"/>
  <c r="X560" i="20" s="1"/>
  <c r="W562" i="20"/>
  <c r="X562" i="20" s="1"/>
  <c r="W566" i="20"/>
  <c r="X566" i="20" s="1"/>
  <c r="W572" i="20"/>
  <c r="X572" i="20" s="1"/>
  <c r="W576" i="20"/>
  <c r="X576" i="20" s="1"/>
  <c r="W580" i="20"/>
  <c r="X580" i="20" s="1"/>
  <c r="W584" i="20"/>
  <c r="X584" i="20" s="1"/>
  <c r="W588" i="20"/>
  <c r="X588" i="20" s="1"/>
  <c r="W592" i="20"/>
  <c r="X592" i="20" s="1"/>
  <c r="W595" i="20"/>
  <c r="X595" i="20" s="1"/>
  <c r="W609" i="20"/>
  <c r="X609" i="20" s="1"/>
  <c r="W633" i="20"/>
  <c r="X633" i="20" s="1"/>
  <c r="W672" i="20"/>
  <c r="X672" i="20" s="1"/>
  <c r="W684" i="20"/>
  <c r="X684" i="20" s="1"/>
  <c r="W28" i="17"/>
  <c r="X28" i="17" s="1"/>
  <c r="Y4" i="20"/>
  <c r="E15" i="12" s="1"/>
  <c r="W91" i="19"/>
  <c r="X91" i="19" s="1"/>
  <c r="W14" i="19"/>
  <c r="X14" i="19" s="1"/>
  <c r="W93" i="19"/>
  <c r="X93" i="19" s="1"/>
  <c r="W8" i="19"/>
  <c r="X8" i="19" s="1"/>
  <c r="W149" i="19"/>
  <c r="X149" i="19" s="1"/>
  <c r="W129" i="19"/>
  <c r="X129" i="19" s="1"/>
  <c r="W163" i="19"/>
  <c r="X163" i="19" s="1"/>
  <c r="W165" i="19"/>
  <c r="X165" i="19" s="1"/>
  <c r="W24" i="19"/>
  <c r="X24" i="19" s="1"/>
  <c r="W56" i="19"/>
  <c r="X56" i="19" s="1"/>
  <c r="W70" i="19"/>
  <c r="X70" i="19" s="1"/>
  <c r="W64" i="19"/>
  <c r="X64" i="19" s="1"/>
  <c r="W80" i="19"/>
  <c r="X80" i="19" s="1"/>
  <c r="W132" i="19"/>
  <c r="X132" i="19" s="1"/>
  <c r="W160" i="19"/>
  <c r="X160" i="19" s="1"/>
  <c r="W99" i="19"/>
  <c r="X99" i="19" s="1"/>
  <c r="W58" i="19"/>
  <c r="X58" i="19" s="1"/>
  <c r="W6" i="19"/>
  <c r="X6" i="19" s="1"/>
  <c r="W115" i="19"/>
  <c r="X115" i="19" s="1"/>
  <c r="W60" i="19"/>
  <c r="X60" i="19" s="1"/>
  <c r="W16" i="19"/>
  <c r="X16" i="19" s="1"/>
  <c r="W147" i="19"/>
  <c r="X147" i="19" s="1"/>
  <c r="W143" i="19"/>
  <c r="X143" i="19" s="1"/>
  <c r="W111" i="19"/>
  <c r="X111" i="19" s="1"/>
  <c r="W101" i="19"/>
  <c r="X101" i="19" s="1"/>
  <c r="W86" i="19"/>
  <c r="X86" i="19" s="1"/>
  <c r="W141" i="19"/>
  <c r="X141" i="19" s="1"/>
  <c r="W74" i="19"/>
  <c r="X74" i="19" s="1"/>
  <c r="W63" i="19"/>
  <c r="X63" i="19" s="1"/>
  <c r="W124" i="19"/>
  <c r="X124" i="19" s="1"/>
  <c r="W146" i="19"/>
  <c r="X146" i="19" s="1"/>
  <c r="W152" i="19"/>
  <c r="X152" i="19" s="1"/>
  <c r="W170" i="19"/>
  <c r="X170" i="19" s="1"/>
  <c r="W121" i="19"/>
  <c r="X121" i="19" s="1"/>
  <c r="W95" i="19"/>
  <c r="X95" i="19" s="1"/>
  <c r="W10" i="19"/>
  <c r="X10" i="19" s="1"/>
  <c r="W119" i="19"/>
  <c r="X119" i="19" s="1"/>
  <c r="W97" i="19"/>
  <c r="X97" i="19" s="1"/>
  <c r="W20" i="19"/>
  <c r="X20" i="19" s="1"/>
  <c r="W171" i="19"/>
  <c r="X171" i="19" s="1"/>
  <c r="W133" i="19"/>
  <c r="X133" i="19" s="1"/>
  <c r="W125" i="19"/>
  <c r="X125" i="19" s="1"/>
  <c r="W135" i="19"/>
  <c r="X135" i="19" s="1"/>
  <c r="W127" i="19"/>
  <c r="X127" i="19" s="1"/>
  <c r="W109" i="19"/>
  <c r="X109" i="19" s="1"/>
  <c r="W145" i="19"/>
  <c r="X145" i="19" s="1"/>
  <c r="W84" i="19"/>
  <c r="X84" i="19" s="1"/>
  <c r="W157" i="19"/>
  <c r="X157" i="19" s="1"/>
  <c r="W123" i="19"/>
  <c r="X123" i="19" s="1"/>
  <c r="W105" i="19"/>
  <c r="X105" i="19" s="1"/>
  <c r="W88" i="19"/>
  <c r="X88" i="19" s="1"/>
  <c r="W72" i="19"/>
  <c r="X72" i="19" s="1"/>
  <c r="W173" i="19"/>
  <c r="X173" i="19" s="1"/>
  <c r="W131" i="19"/>
  <c r="X131" i="19" s="1"/>
  <c r="W90" i="19"/>
  <c r="X90" i="19" s="1"/>
  <c r="W22" i="19"/>
  <c r="X22" i="19" s="1"/>
  <c r="Y22" i="19" s="1"/>
  <c r="Y4" i="19" s="1"/>
  <c r="E14" i="12" s="1"/>
  <c r="F14" i="12" s="1"/>
  <c r="W78" i="19"/>
  <c r="X78" i="19" s="1"/>
  <c r="W107" i="19"/>
  <c r="X107" i="19" s="1"/>
  <c r="W82" i="19"/>
  <c r="X82" i="19" s="1"/>
  <c r="W112" i="19"/>
  <c r="X112" i="19" s="1"/>
  <c r="W96" i="19"/>
  <c r="X96" i="19" s="1"/>
  <c r="W100" i="19"/>
  <c r="X100" i="19" s="1"/>
  <c r="W87" i="19"/>
  <c r="X87" i="19" s="1"/>
  <c r="W85" i="19"/>
  <c r="X85" i="19" s="1"/>
  <c r="W83" i="19"/>
  <c r="X83" i="19" s="1"/>
  <c r="W81" i="19"/>
  <c r="X81" i="19" s="1"/>
  <c r="W79" i="19"/>
  <c r="X79" i="19" s="1"/>
  <c r="W71" i="19"/>
  <c r="X71" i="19" s="1"/>
  <c r="W55" i="19"/>
  <c r="X55" i="19" s="1"/>
  <c r="W59" i="19"/>
  <c r="X59" i="19" s="1"/>
  <c r="W61" i="19"/>
  <c r="X61" i="19" s="1"/>
  <c r="W104" i="19"/>
  <c r="X104" i="19" s="1"/>
  <c r="W116" i="19"/>
  <c r="X116" i="19" s="1"/>
  <c r="W120" i="19"/>
  <c r="X120" i="19" s="1"/>
  <c r="W122" i="19"/>
  <c r="X122" i="19" s="1"/>
  <c r="W126" i="19"/>
  <c r="X126" i="19" s="1"/>
  <c r="W144" i="19"/>
  <c r="X144" i="19" s="1"/>
  <c r="W154" i="19"/>
  <c r="X154" i="19" s="1"/>
  <c r="W110" i="19"/>
  <c r="X110" i="19" s="1"/>
  <c r="W19" i="19"/>
  <c r="X19" i="19" s="1"/>
  <c r="W17" i="19"/>
  <c r="X17" i="19" s="1"/>
  <c r="W13" i="19"/>
  <c r="X13" i="19" s="1"/>
  <c r="W153" i="19"/>
  <c r="X153" i="19" s="1"/>
  <c r="W65" i="19"/>
  <c r="X65" i="19" s="1"/>
  <c r="W89" i="19"/>
  <c r="X89" i="19" s="1"/>
  <c r="W94" i="19"/>
  <c r="X94" i="19" s="1"/>
  <c r="W98" i="19"/>
  <c r="X98" i="19" s="1"/>
  <c r="W69" i="19"/>
  <c r="X69" i="19" s="1"/>
  <c r="W67" i="19"/>
  <c r="X67" i="19" s="1"/>
  <c r="W57" i="19"/>
  <c r="X57" i="19" s="1"/>
  <c r="W108" i="19"/>
  <c r="X108" i="19" s="1"/>
  <c r="W106" i="19"/>
  <c r="X106" i="19" s="1"/>
  <c r="W102" i="19"/>
  <c r="X102" i="19" s="1"/>
  <c r="W114" i="19"/>
  <c r="X114" i="19" s="1"/>
  <c r="W118" i="19"/>
  <c r="X118" i="19" s="1"/>
  <c r="W128" i="19"/>
  <c r="X128" i="19" s="1"/>
  <c r="W130" i="19"/>
  <c r="X130" i="19" s="1"/>
  <c r="W134" i="19"/>
  <c r="X134" i="19" s="1"/>
  <c r="W166" i="19"/>
  <c r="X166" i="19" s="1"/>
  <c r="W136" i="19"/>
  <c r="X136" i="19" s="1"/>
  <c r="W23" i="19"/>
  <c r="X23" i="19" s="1"/>
  <c r="W25" i="19"/>
  <c r="X25" i="19" s="1"/>
  <c r="W21" i="19"/>
  <c r="X21" i="19" s="1"/>
  <c r="W7" i="19"/>
  <c r="X7" i="19" s="1"/>
  <c r="W15" i="19"/>
  <c r="X15" i="19" s="1"/>
  <c r="W11" i="19"/>
  <c r="X11" i="19" s="1"/>
  <c r="W9" i="19"/>
  <c r="X9" i="19" s="1"/>
  <c r="F15" i="12" l="1"/>
  <c r="B17" i="12"/>
  <c r="B16" i="12"/>
  <c r="B15" i="12"/>
  <c r="B14" i="12"/>
  <c r="B13" i="12"/>
  <c r="B11" i="12"/>
  <c r="B10" i="12"/>
  <c r="P83" i="22"/>
  <c r="V83" i="22" s="1"/>
  <c r="W83" i="22" s="1"/>
  <c r="X83" i="22" s="1"/>
  <c r="P73" i="22"/>
  <c r="V73" i="22" s="1"/>
  <c r="W73" i="22" s="1"/>
  <c r="X73" i="22" s="1"/>
  <c r="P70" i="22"/>
  <c r="V70" i="22" s="1"/>
  <c r="W70" i="22" s="1"/>
  <c r="X70" i="22" s="1"/>
  <c r="P60" i="22"/>
  <c r="V60" i="22" s="1"/>
  <c r="W60" i="22" s="1"/>
  <c r="X60" i="22" s="1"/>
  <c r="P55" i="22"/>
  <c r="V55" i="22" s="1"/>
  <c r="W55" i="22" s="1"/>
  <c r="X55" i="22" s="1"/>
  <c r="P48" i="22"/>
  <c r="V48" i="22" s="1"/>
  <c r="W48" i="22" s="1"/>
  <c r="X48" i="22" s="1"/>
  <c r="P45" i="22"/>
  <c r="V45" i="22" s="1"/>
  <c r="W45" i="22" s="1"/>
  <c r="X45" i="22" s="1"/>
  <c r="P44" i="22"/>
  <c r="V44" i="22" s="1"/>
  <c r="W44" i="22" s="1"/>
  <c r="X44" i="22" s="1"/>
  <c r="P43" i="22"/>
  <c r="V43" i="22" s="1"/>
  <c r="W43" i="22" s="1"/>
  <c r="X43" i="22" s="1"/>
  <c r="P42" i="22"/>
  <c r="V42" i="22" s="1"/>
  <c r="W42" i="22" s="1"/>
  <c r="X42" i="22" s="1"/>
  <c r="P38" i="22"/>
  <c r="V38" i="22" s="1"/>
  <c r="W38" i="22" s="1"/>
  <c r="X38" i="22" s="1"/>
  <c r="P37" i="22"/>
  <c r="V37" i="22" s="1"/>
  <c r="W37" i="22" s="1"/>
  <c r="X37" i="22" s="1"/>
  <c r="P36" i="22"/>
  <c r="V36" i="22" s="1"/>
  <c r="W36" i="22" s="1"/>
  <c r="X36" i="22" s="1"/>
  <c r="P31" i="22"/>
  <c r="V31" i="22" s="1"/>
  <c r="W31" i="22" s="1"/>
  <c r="X31" i="22" s="1"/>
  <c r="P11" i="22"/>
  <c r="V11" i="22" s="1"/>
  <c r="W11" i="22" s="1"/>
  <c r="X11" i="22" s="1"/>
  <c r="P9" i="22"/>
  <c r="V9" i="22" s="1"/>
  <c r="W9" i="22" s="1"/>
  <c r="X9" i="22" s="1"/>
  <c r="K4" i="22"/>
  <c r="J4" i="22"/>
  <c r="P107" i="21"/>
  <c r="V107" i="21" s="1"/>
  <c r="W107" i="21" s="1"/>
  <c r="X107" i="21" s="1"/>
  <c r="P99" i="21"/>
  <c r="V99" i="21" s="1"/>
  <c r="W99" i="21" s="1"/>
  <c r="X99" i="21" s="1"/>
  <c r="P98" i="21"/>
  <c r="V98" i="21" s="1"/>
  <c r="W98" i="21" s="1"/>
  <c r="X98" i="21" s="1"/>
  <c r="P97" i="21"/>
  <c r="V97" i="21" s="1"/>
  <c r="W97" i="21" s="1"/>
  <c r="X97" i="21" s="1"/>
  <c r="J73" i="21"/>
  <c r="W73" i="21" s="1"/>
  <c r="X73" i="21" s="1"/>
  <c r="J72" i="21"/>
  <c r="W72" i="21" s="1"/>
  <c r="X72" i="21" s="1"/>
  <c r="J71" i="21"/>
  <c r="W71" i="21" s="1"/>
  <c r="X71" i="21" s="1"/>
  <c r="P63" i="21"/>
  <c r="V63" i="21" s="1"/>
  <c r="W63" i="21" s="1"/>
  <c r="X63" i="21" s="1"/>
  <c r="J34" i="21"/>
  <c r="W34" i="21" s="1"/>
  <c r="X34" i="21" s="1"/>
  <c r="J33" i="21"/>
  <c r="W33" i="21" s="1"/>
  <c r="X33" i="21" s="1"/>
  <c r="J32" i="21"/>
  <c r="W32" i="21" s="1"/>
  <c r="X32" i="21" s="1"/>
  <c r="J31" i="21"/>
  <c r="W31" i="21" s="1"/>
  <c r="X31" i="21" s="1"/>
  <c r="J28" i="21"/>
  <c r="W28" i="21" s="1"/>
  <c r="X28" i="21" s="1"/>
  <c r="P27" i="21"/>
  <c r="V27" i="21" s="1"/>
  <c r="W27" i="21" s="1"/>
  <c r="X27" i="21" s="1"/>
  <c r="J25" i="21"/>
  <c r="W25" i="21" s="1"/>
  <c r="X25" i="21" s="1"/>
  <c r="P24" i="21"/>
  <c r="V24" i="21" s="1"/>
  <c r="W24" i="21" s="1"/>
  <c r="X24" i="21" s="1"/>
  <c r="P23" i="21"/>
  <c r="V23" i="21" s="1"/>
  <c r="W23" i="21" s="1"/>
  <c r="X23" i="21" s="1"/>
  <c r="P22" i="21"/>
  <c r="V22" i="21" s="1"/>
  <c r="W22" i="21" s="1"/>
  <c r="X22" i="21" s="1"/>
  <c r="P21" i="21"/>
  <c r="V21" i="21" s="1"/>
  <c r="W21" i="21" s="1"/>
  <c r="X21" i="21" s="1"/>
  <c r="P20" i="21"/>
  <c r="V20" i="21" s="1"/>
  <c r="W20" i="21" s="1"/>
  <c r="X20" i="21" s="1"/>
  <c r="J18" i="21"/>
  <c r="W18" i="21" s="1"/>
  <c r="X18" i="21" s="1"/>
  <c r="P10" i="21"/>
  <c r="V10" i="21" s="1"/>
  <c r="W10" i="21" s="1"/>
  <c r="X10" i="21" s="1"/>
  <c r="P681" i="20"/>
  <c r="V681" i="20" s="1"/>
  <c r="W681" i="20" s="1"/>
  <c r="X681" i="20" s="1"/>
  <c r="P680" i="20"/>
  <c r="V680" i="20" s="1"/>
  <c r="W680" i="20" s="1"/>
  <c r="X680" i="20" s="1"/>
  <c r="P678" i="20"/>
  <c r="V678" i="20" s="1"/>
  <c r="W678" i="20" s="1"/>
  <c r="X678" i="20" s="1"/>
  <c r="P667" i="20"/>
  <c r="V667" i="20" s="1"/>
  <c r="W667" i="20" s="1"/>
  <c r="X667" i="20" s="1"/>
  <c r="P665" i="20"/>
  <c r="V665" i="20" s="1"/>
  <c r="W665" i="20" s="1"/>
  <c r="X665" i="20" s="1"/>
  <c r="P664" i="20"/>
  <c r="V664" i="20" s="1"/>
  <c r="W664" i="20" s="1"/>
  <c r="X664" i="20" s="1"/>
  <c r="P663" i="20"/>
  <c r="V663" i="20" s="1"/>
  <c r="W663" i="20" s="1"/>
  <c r="X663" i="20" s="1"/>
  <c r="P651" i="20"/>
  <c r="V651" i="20" s="1"/>
  <c r="W651" i="20" s="1"/>
  <c r="X651" i="20" s="1"/>
  <c r="P650" i="20"/>
  <c r="V650" i="20" s="1"/>
  <c r="W650" i="20" s="1"/>
  <c r="X650" i="20" s="1"/>
  <c r="P649" i="20"/>
  <c r="V649" i="20" s="1"/>
  <c r="W649" i="20" s="1"/>
  <c r="X649" i="20" s="1"/>
  <c r="P647" i="20"/>
  <c r="V647" i="20" s="1"/>
  <c r="W647" i="20" s="1"/>
  <c r="X647" i="20" s="1"/>
  <c r="P646" i="20"/>
  <c r="V646" i="20" s="1"/>
  <c r="W646" i="20" s="1"/>
  <c r="X646" i="20" s="1"/>
  <c r="P645" i="20"/>
  <c r="V645" i="20" s="1"/>
  <c r="W645" i="20" s="1"/>
  <c r="X645" i="20" s="1"/>
  <c r="P643" i="20"/>
  <c r="V643" i="20" s="1"/>
  <c r="W643" i="20" s="1"/>
  <c r="X643" i="20" s="1"/>
  <c r="P642" i="20"/>
  <c r="V642" i="20" s="1"/>
  <c r="W642" i="20" s="1"/>
  <c r="X642" i="20" s="1"/>
  <c r="P641" i="20"/>
  <c r="V641" i="20" s="1"/>
  <c r="W641" i="20" s="1"/>
  <c r="X641" i="20" s="1"/>
  <c r="P640" i="20"/>
  <c r="V640" i="20" s="1"/>
  <c r="W640" i="20" s="1"/>
  <c r="X640" i="20" s="1"/>
  <c r="P638" i="20"/>
  <c r="V638" i="20" s="1"/>
  <c r="W638" i="20" s="1"/>
  <c r="X638" i="20" s="1"/>
  <c r="P628" i="20"/>
  <c r="V628" i="20" s="1"/>
  <c r="W628" i="20" s="1"/>
  <c r="X628" i="20" s="1"/>
  <c r="P627" i="20"/>
  <c r="V627" i="20" s="1"/>
  <c r="W627" i="20" s="1"/>
  <c r="X627" i="20" s="1"/>
  <c r="P626" i="20"/>
  <c r="V626" i="20" s="1"/>
  <c r="W626" i="20" s="1"/>
  <c r="X626" i="20" s="1"/>
  <c r="P624" i="20"/>
  <c r="V624" i="20" s="1"/>
  <c r="W624" i="20" s="1"/>
  <c r="X624" i="20" s="1"/>
  <c r="P623" i="20"/>
  <c r="V623" i="20" s="1"/>
  <c r="W623" i="20" s="1"/>
  <c r="X623" i="20" s="1"/>
  <c r="P622" i="20"/>
  <c r="V622" i="20" s="1"/>
  <c r="W622" i="20" s="1"/>
  <c r="X622" i="20" s="1"/>
  <c r="P621" i="20"/>
  <c r="V621" i="20" s="1"/>
  <c r="W621" i="20" s="1"/>
  <c r="X621" i="20" s="1"/>
  <c r="P619" i="20"/>
  <c r="V619" i="20" s="1"/>
  <c r="W619" i="20" s="1"/>
  <c r="X619" i="20" s="1"/>
  <c r="P617" i="20"/>
  <c r="V617" i="20" s="1"/>
  <c r="W617" i="20" s="1"/>
  <c r="X617" i="20" s="1"/>
  <c r="P615" i="20"/>
  <c r="V615" i="20" s="1"/>
  <c r="W615" i="20" s="1"/>
  <c r="X615" i="20" s="1"/>
  <c r="P604" i="20"/>
  <c r="V604" i="20" s="1"/>
  <c r="W604" i="20" s="1"/>
  <c r="X604" i="20" s="1"/>
  <c r="J477" i="20"/>
  <c r="W477" i="20" s="1"/>
  <c r="X477" i="20" s="1"/>
  <c r="J476" i="20"/>
  <c r="W476" i="20" s="1"/>
  <c r="X476" i="20" s="1"/>
  <c r="J475" i="20"/>
  <c r="W475" i="20" s="1"/>
  <c r="X475" i="20" s="1"/>
  <c r="J411" i="20"/>
  <c r="W411" i="20" s="1"/>
  <c r="X411" i="20" s="1"/>
  <c r="J410" i="20"/>
  <c r="W410" i="20" s="1"/>
  <c r="X410" i="20" s="1"/>
  <c r="J409" i="20"/>
  <c r="W409" i="20" s="1"/>
  <c r="X409" i="20" s="1"/>
  <c r="J408" i="20"/>
  <c r="W408" i="20" s="1"/>
  <c r="X408" i="20" s="1"/>
  <c r="J407" i="20"/>
  <c r="W407" i="20" s="1"/>
  <c r="X407" i="20" s="1"/>
  <c r="P401" i="20"/>
  <c r="V401" i="20" s="1"/>
  <c r="W401" i="20" s="1"/>
  <c r="X401" i="20" s="1"/>
  <c r="J253" i="20"/>
  <c r="W253" i="20" s="1"/>
  <c r="X253" i="20" s="1"/>
  <c r="P221" i="20"/>
  <c r="V221" i="20" s="1"/>
  <c r="W221" i="20" s="1"/>
  <c r="X221" i="20" s="1"/>
  <c r="P220" i="20"/>
  <c r="V220" i="20" s="1"/>
  <c r="W220" i="20" s="1"/>
  <c r="X220" i="20" s="1"/>
  <c r="P219" i="20"/>
  <c r="V219" i="20" s="1"/>
  <c r="W219" i="20" s="1"/>
  <c r="X219" i="20" s="1"/>
  <c r="P218" i="20"/>
  <c r="V218" i="20" s="1"/>
  <c r="W218" i="20" s="1"/>
  <c r="X218" i="20" s="1"/>
  <c r="P217" i="20"/>
  <c r="V217" i="20" s="1"/>
  <c r="W217" i="20" s="1"/>
  <c r="X217" i="20" s="1"/>
  <c r="P216" i="20"/>
  <c r="V216" i="20" s="1"/>
  <c r="W216" i="20" s="1"/>
  <c r="X216" i="20" s="1"/>
  <c r="P215" i="20"/>
  <c r="V215" i="20" s="1"/>
  <c r="W215" i="20" s="1"/>
  <c r="X215" i="20" s="1"/>
  <c r="P201" i="20"/>
  <c r="V201" i="20" s="1"/>
  <c r="W201" i="20" s="1"/>
  <c r="X201" i="20" s="1"/>
  <c r="P200" i="20"/>
  <c r="V200" i="20" s="1"/>
  <c r="W200" i="20" s="1"/>
  <c r="X200" i="20" s="1"/>
  <c r="P199" i="20"/>
  <c r="V199" i="20" s="1"/>
  <c r="W199" i="20" s="1"/>
  <c r="X199" i="20" s="1"/>
  <c r="P198" i="20"/>
  <c r="V198" i="20" s="1"/>
  <c r="W198" i="20" s="1"/>
  <c r="X198" i="20" s="1"/>
  <c r="P197" i="20"/>
  <c r="V197" i="20" s="1"/>
  <c r="W197" i="20" s="1"/>
  <c r="X197" i="20" s="1"/>
  <c r="P196" i="20"/>
  <c r="V196" i="20" s="1"/>
  <c r="W196" i="20" s="1"/>
  <c r="X196" i="20" s="1"/>
  <c r="P195" i="20"/>
  <c r="V195" i="20" s="1"/>
  <c r="W195" i="20" s="1"/>
  <c r="X195" i="20" s="1"/>
  <c r="P177" i="20"/>
  <c r="V177" i="20" s="1"/>
  <c r="W177" i="20" s="1"/>
  <c r="X177" i="20" s="1"/>
  <c r="P139" i="20"/>
  <c r="V139" i="20" s="1"/>
  <c r="W139" i="20" s="1"/>
  <c r="X139" i="20" s="1"/>
  <c r="P138" i="20"/>
  <c r="V138" i="20" s="1"/>
  <c r="W138" i="20" s="1"/>
  <c r="X138" i="20" s="1"/>
  <c r="P137" i="20"/>
  <c r="V137" i="20" s="1"/>
  <c r="W137" i="20" s="1"/>
  <c r="X137" i="20" s="1"/>
  <c r="P136" i="20"/>
  <c r="V136" i="20" s="1"/>
  <c r="W136" i="20" s="1"/>
  <c r="X136" i="20" s="1"/>
  <c r="P135" i="20"/>
  <c r="V135" i="20" s="1"/>
  <c r="W135" i="20" s="1"/>
  <c r="X135" i="20" s="1"/>
  <c r="P134" i="20"/>
  <c r="V134" i="20" s="1"/>
  <c r="W134" i="20" s="1"/>
  <c r="X134" i="20" s="1"/>
  <c r="P133" i="20"/>
  <c r="V133" i="20" s="1"/>
  <c r="W133" i="20" s="1"/>
  <c r="X133" i="20" s="1"/>
  <c r="P132" i="20"/>
  <c r="V132" i="20" s="1"/>
  <c r="W132" i="20" s="1"/>
  <c r="X132" i="20" s="1"/>
  <c r="P131" i="20"/>
  <c r="V131" i="20" s="1"/>
  <c r="W131" i="20" s="1"/>
  <c r="X131" i="20" s="1"/>
  <c r="P130" i="20"/>
  <c r="V130" i="20" s="1"/>
  <c r="W130" i="20" s="1"/>
  <c r="X130" i="20" s="1"/>
  <c r="P129" i="20"/>
  <c r="V129" i="20" s="1"/>
  <c r="W129" i="20" s="1"/>
  <c r="X129" i="20" s="1"/>
  <c r="P128" i="20"/>
  <c r="V128" i="20" s="1"/>
  <c r="W128" i="20" s="1"/>
  <c r="X128" i="20" s="1"/>
  <c r="P127" i="20"/>
  <c r="V127" i="20" s="1"/>
  <c r="W127" i="20" s="1"/>
  <c r="X127" i="20" s="1"/>
  <c r="P126" i="20"/>
  <c r="V126" i="20" s="1"/>
  <c r="W126" i="20" s="1"/>
  <c r="X126" i="20" s="1"/>
  <c r="P125" i="20"/>
  <c r="V125" i="20" s="1"/>
  <c r="W125" i="20" s="1"/>
  <c r="X125" i="20" s="1"/>
  <c r="P124" i="20"/>
  <c r="V124" i="20" s="1"/>
  <c r="W124" i="20" s="1"/>
  <c r="X124" i="20" s="1"/>
  <c r="J105" i="20"/>
  <c r="W105" i="20" s="1"/>
  <c r="X105" i="20" s="1"/>
  <c r="P93" i="20"/>
  <c r="V93" i="20" s="1"/>
  <c r="W93" i="20" s="1"/>
  <c r="X93" i="20" s="1"/>
  <c r="P92" i="20"/>
  <c r="V92" i="20" s="1"/>
  <c r="W92" i="20" s="1"/>
  <c r="X92" i="20" s="1"/>
  <c r="P91" i="20"/>
  <c r="V91" i="20" s="1"/>
  <c r="W91" i="20" s="1"/>
  <c r="X91" i="20" s="1"/>
  <c r="P59" i="20"/>
  <c r="V59" i="20" s="1"/>
  <c r="W59" i="20" s="1"/>
  <c r="X59" i="20" s="1"/>
  <c r="J52" i="20"/>
  <c r="P36" i="20"/>
  <c r="V36" i="20" s="1"/>
  <c r="W36" i="20" s="1"/>
  <c r="X36" i="20" s="1"/>
  <c r="P25" i="20"/>
  <c r="V25" i="20" s="1"/>
  <c r="W25" i="20" s="1"/>
  <c r="X25" i="20" s="1"/>
  <c r="P19" i="20"/>
  <c r="V19" i="20" s="1"/>
  <c r="W19" i="20" s="1"/>
  <c r="X19" i="20" s="1"/>
  <c r="P10" i="20"/>
  <c r="V10" i="20" s="1"/>
  <c r="W10" i="20" s="1"/>
  <c r="X10" i="20" s="1"/>
  <c r="P9" i="20"/>
  <c r="V9" i="20" s="1"/>
  <c r="W9" i="20" s="1"/>
  <c r="X9" i="20" s="1"/>
  <c r="P7" i="20"/>
  <c r="V7" i="20" s="1"/>
  <c r="W7" i="20" s="1"/>
  <c r="X7" i="20" s="1"/>
  <c r="J6" i="20"/>
  <c r="W6" i="20" s="1"/>
  <c r="X6" i="20" s="1"/>
  <c r="K4" i="20"/>
  <c r="P155" i="19"/>
  <c r="V155" i="19" s="1"/>
  <c r="W155" i="19" s="1"/>
  <c r="X155" i="19" s="1"/>
  <c r="J161" i="19"/>
  <c r="W161" i="19" s="1"/>
  <c r="X161" i="19" s="1"/>
  <c r="P162" i="19"/>
  <c r="V162" i="19" s="1"/>
  <c r="W162" i="19" s="1"/>
  <c r="X162" i="19" s="1"/>
  <c r="P174" i="19"/>
  <c r="V174" i="19" s="1"/>
  <c r="W174" i="19" s="1"/>
  <c r="X174" i="19" s="1"/>
  <c r="P169" i="19"/>
  <c r="V169" i="19" s="1"/>
  <c r="W169" i="19" s="1"/>
  <c r="X169" i="19" s="1"/>
  <c r="P168" i="19"/>
  <c r="V168" i="19" s="1"/>
  <c r="W168" i="19" s="1"/>
  <c r="X168" i="19" s="1"/>
  <c r="P172" i="19"/>
  <c r="V172" i="19" s="1"/>
  <c r="W172" i="19" s="1"/>
  <c r="X172" i="19" s="1"/>
  <c r="P164" i="19"/>
  <c r="V164" i="19" s="1"/>
  <c r="W164" i="19" s="1"/>
  <c r="X164" i="19" s="1"/>
  <c r="P151" i="19"/>
  <c r="V151" i="19" s="1"/>
  <c r="W151" i="19" s="1"/>
  <c r="X151" i="19" s="1"/>
  <c r="P137" i="19"/>
  <c r="V137" i="19" s="1"/>
  <c r="W137" i="19" s="1"/>
  <c r="X137" i="19" s="1"/>
  <c r="P113" i="19"/>
  <c r="V113" i="19" s="1"/>
  <c r="W113" i="19" s="1"/>
  <c r="X113" i="19" s="1"/>
  <c r="P92" i="19"/>
  <c r="V92" i="19" s="1"/>
  <c r="W92" i="19" s="1"/>
  <c r="X92" i="19" s="1"/>
  <c r="P77" i="19"/>
  <c r="V77" i="19" s="1"/>
  <c r="W77" i="19" s="1"/>
  <c r="X77" i="19" s="1"/>
  <c r="P76" i="19"/>
  <c r="V76" i="19" s="1"/>
  <c r="W76" i="19" s="1"/>
  <c r="X76" i="19" s="1"/>
  <c r="P75" i="19"/>
  <c r="V75" i="19" s="1"/>
  <c r="W75" i="19" s="1"/>
  <c r="X75" i="19" s="1"/>
  <c r="P68" i="19"/>
  <c r="V68" i="19" s="1"/>
  <c r="W68" i="19" s="1"/>
  <c r="X68" i="19" s="1"/>
  <c r="P66" i="19"/>
  <c r="V66" i="19" s="1"/>
  <c r="W66" i="19" s="1"/>
  <c r="X66" i="19" s="1"/>
  <c r="P62" i="19"/>
  <c r="V62" i="19" s="1"/>
  <c r="W62" i="19" s="1"/>
  <c r="X62" i="19" s="1"/>
  <c r="J28" i="19"/>
  <c r="W28" i="19" s="1"/>
  <c r="X28" i="19" s="1"/>
  <c r="J57" i="18"/>
  <c r="W57" i="18" s="1"/>
  <c r="X57" i="18" s="1"/>
  <c r="J56" i="18"/>
  <c r="W56" i="18" s="1"/>
  <c r="X56" i="18" s="1"/>
  <c r="J55" i="18"/>
  <c r="W55" i="18" s="1"/>
  <c r="X55" i="18" s="1"/>
  <c r="J54" i="18"/>
  <c r="W54" i="18" s="1"/>
  <c r="X54" i="18" s="1"/>
  <c r="J53" i="18"/>
  <c r="W53" i="18" s="1"/>
  <c r="X53" i="18" s="1"/>
  <c r="J52" i="18"/>
  <c r="W52" i="18" s="1"/>
  <c r="X52" i="18" s="1"/>
  <c r="J51" i="18"/>
  <c r="W51" i="18" s="1"/>
  <c r="X51" i="18" s="1"/>
  <c r="J50" i="18"/>
  <c r="W50" i="18" s="1"/>
  <c r="X50" i="18" s="1"/>
  <c r="J49" i="18"/>
  <c r="W49" i="18" s="1"/>
  <c r="X49" i="18" s="1"/>
  <c r="J48" i="18"/>
  <c r="W48" i="18" s="1"/>
  <c r="X48" i="18" s="1"/>
  <c r="J47" i="18"/>
  <c r="W47" i="18" s="1"/>
  <c r="X47" i="18" s="1"/>
  <c r="J46" i="18"/>
  <c r="W46" i="18" s="1"/>
  <c r="X46" i="18" s="1"/>
  <c r="J45" i="18"/>
  <c r="W45" i="18" s="1"/>
  <c r="X45" i="18" s="1"/>
  <c r="P44" i="18"/>
  <c r="V44" i="18" s="1"/>
  <c r="W44" i="18" s="1"/>
  <c r="X44" i="18" s="1"/>
  <c r="Y44" i="18" s="1"/>
  <c r="P43" i="18"/>
  <c r="V43" i="18" s="1"/>
  <c r="W43" i="18" s="1"/>
  <c r="X43" i="18" s="1"/>
  <c r="J42" i="18"/>
  <c r="W42" i="18" s="1"/>
  <c r="X42" i="18" s="1"/>
  <c r="J41" i="18"/>
  <c r="W41" i="18" s="1"/>
  <c r="X41" i="18" s="1"/>
  <c r="J36" i="18"/>
  <c r="W36" i="18" s="1"/>
  <c r="X36" i="18" s="1"/>
  <c r="J35" i="18"/>
  <c r="W35" i="18" s="1"/>
  <c r="X35" i="18" s="1"/>
  <c r="J34" i="18"/>
  <c r="W34" i="18" s="1"/>
  <c r="X34" i="18" s="1"/>
  <c r="Y34" i="18" s="1"/>
  <c r="Y4" i="18" s="1"/>
  <c r="E13" i="12" s="1"/>
  <c r="F13" i="12" s="1"/>
  <c r="J33" i="18"/>
  <c r="W33" i="18" s="1"/>
  <c r="X33" i="18" s="1"/>
  <c r="J32" i="18"/>
  <c r="W32" i="18" s="1"/>
  <c r="X32" i="18" s="1"/>
  <c r="J31" i="18"/>
  <c r="W31" i="18" s="1"/>
  <c r="X31" i="18" s="1"/>
  <c r="J30" i="18"/>
  <c r="W30" i="18" s="1"/>
  <c r="X30" i="18" s="1"/>
  <c r="J29" i="18"/>
  <c r="W29" i="18" s="1"/>
  <c r="X29" i="18" s="1"/>
  <c r="J28" i="18"/>
  <c r="W28" i="18" s="1"/>
  <c r="X28" i="18" s="1"/>
  <c r="J27" i="18"/>
  <c r="W27" i="18" s="1"/>
  <c r="X27" i="18" s="1"/>
  <c r="J26" i="18"/>
  <c r="W26" i="18" s="1"/>
  <c r="X26" i="18" s="1"/>
  <c r="J25" i="18"/>
  <c r="W25" i="18" s="1"/>
  <c r="X25" i="18" s="1"/>
  <c r="P24" i="18"/>
  <c r="V24" i="18" s="1"/>
  <c r="J24" i="18"/>
  <c r="W24" i="18" s="1"/>
  <c r="X24" i="18" s="1"/>
  <c r="P23" i="18"/>
  <c r="V23" i="18" s="1"/>
  <c r="J23" i="18"/>
  <c r="W23" i="18" s="1"/>
  <c r="X23" i="18" s="1"/>
  <c r="J22" i="18"/>
  <c r="W22" i="18" s="1"/>
  <c r="X22" i="18" s="1"/>
  <c r="J21" i="18"/>
  <c r="W21" i="18" s="1"/>
  <c r="X21" i="18" s="1"/>
  <c r="J20" i="18"/>
  <c r="W20" i="18" s="1"/>
  <c r="X20" i="18" s="1"/>
  <c r="J19" i="18"/>
  <c r="W19" i="18" s="1"/>
  <c r="X19" i="18" s="1"/>
  <c r="J18" i="18"/>
  <c r="W18" i="18" s="1"/>
  <c r="X18" i="18" s="1"/>
  <c r="J17" i="18"/>
  <c r="W17" i="18" s="1"/>
  <c r="X17" i="18" s="1"/>
  <c r="J16" i="18"/>
  <c r="W16" i="18" s="1"/>
  <c r="X16" i="18" s="1"/>
  <c r="J15" i="18"/>
  <c r="W15" i="18" s="1"/>
  <c r="X15" i="18" s="1"/>
  <c r="J14" i="18"/>
  <c r="W14" i="18" s="1"/>
  <c r="X14" i="18" s="1"/>
  <c r="J9" i="18"/>
  <c r="W9" i="18" s="1"/>
  <c r="X9" i="18" s="1"/>
  <c r="J8" i="18"/>
  <c r="W8" i="18" s="1"/>
  <c r="X8" i="18" s="1"/>
  <c r="J7" i="18"/>
  <c r="W7" i="18" s="1"/>
  <c r="X7" i="18" s="1"/>
  <c r="J6" i="18"/>
  <c r="W6" i="18" s="1"/>
  <c r="X6" i="18" s="1"/>
  <c r="P51" i="17"/>
  <c r="V51" i="17" s="1"/>
  <c r="W51" i="17" s="1"/>
  <c r="X51" i="17" s="1"/>
  <c r="P50" i="17"/>
  <c r="V50" i="17" s="1"/>
  <c r="W50" i="17" s="1"/>
  <c r="X50" i="17" s="1"/>
  <c r="P49" i="17"/>
  <c r="V49" i="17" s="1"/>
  <c r="W49" i="17" s="1"/>
  <c r="X49" i="17" s="1"/>
  <c r="P48" i="17"/>
  <c r="V48" i="17" s="1"/>
  <c r="W48" i="17" s="1"/>
  <c r="X48" i="17" s="1"/>
  <c r="P47" i="17"/>
  <c r="V47" i="17" s="1"/>
  <c r="W47" i="17" s="1"/>
  <c r="X47" i="17" s="1"/>
  <c r="P46" i="17"/>
  <c r="V46" i="17" s="1"/>
  <c r="W46" i="17" s="1"/>
  <c r="X46" i="17" s="1"/>
  <c r="P44" i="17"/>
  <c r="V44" i="17" s="1"/>
  <c r="W44" i="17" s="1"/>
  <c r="X44" i="17" s="1"/>
  <c r="P40" i="17"/>
  <c r="V40" i="17" s="1"/>
  <c r="W40" i="17" s="1"/>
  <c r="X40" i="17" s="1"/>
  <c r="P39" i="17"/>
  <c r="V39" i="17" s="1"/>
  <c r="W39" i="17" s="1"/>
  <c r="X39" i="17" s="1"/>
  <c r="P38" i="17"/>
  <c r="V38" i="17" s="1"/>
  <c r="W38" i="17" s="1"/>
  <c r="X38" i="17" s="1"/>
  <c r="P37" i="17"/>
  <c r="V37" i="17" s="1"/>
  <c r="W37" i="17" s="1"/>
  <c r="X37" i="17" s="1"/>
  <c r="P36" i="17"/>
  <c r="V36" i="17" s="1"/>
  <c r="W36" i="17" s="1"/>
  <c r="X36" i="17" s="1"/>
  <c r="P35" i="17"/>
  <c r="V35" i="17" s="1"/>
  <c r="W35" i="17" s="1"/>
  <c r="X35" i="17" s="1"/>
  <c r="P34" i="17"/>
  <c r="V34" i="17" s="1"/>
  <c r="W34" i="17" s="1"/>
  <c r="X34" i="17" s="1"/>
  <c r="P33" i="17"/>
  <c r="V33" i="17" s="1"/>
  <c r="W33" i="17" s="1"/>
  <c r="X33" i="17" s="1"/>
  <c r="P26" i="17"/>
  <c r="V26" i="17" s="1"/>
  <c r="W26" i="17" s="1"/>
  <c r="X26" i="17" s="1"/>
  <c r="P15" i="17"/>
  <c r="V15" i="17" s="1"/>
  <c r="W15" i="17" s="1"/>
  <c r="X15" i="17" s="1"/>
  <c r="P13" i="17"/>
  <c r="V13" i="17" s="1"/>
  <c r="W13" i="17" s="1"/>
  <c r="X13" i="17" s="1"/>
  <c r="K4" i="17"/>
  <c r="J4" i="17"/>
  <c r="P12" i="15"/>
  <c r="V12" i="15" s="1"/>
  <c r="W12" i="15" s="1"/>
  <c r="X12" i="15" s="1"/>
  <c r="P11" i="15"/>
  <c r="V11" i="15" s="1"/>
  <c r="W11" i="15" s="1"/>
  <c r="X11" i="15" s="1"/>
  <c r="P10" i="15"/>
  <c r="V10" i="15" s="1"/>
  <c r="W10" i="15" s="1"/>
  <c r="X10" i="15" s="1"/>
  <c r="P8" i="15"/>
  <c r="V8" i="15" s="1"/>
  <c r="W8" i="15" s="1"/>
  <c r="X8" i="15" s="1"/>
  <c r="T6" i="15"/>
  <c r="V6" i="15" s="1"/>
  <c r="W6" i="15" s="1"/>
  <c r="X6" i="15" s="1"/>
  <c r="P17" i="16"/>
  <c r="V17" i="16" s="1"/>
  <c r="W17" i="16" s="1"/>
  <c r="X17" i="16" s="1"/>
  <c r="P18" i="16"/>
  <c r="V18" i="16" s="1"/>
  <c r="W18" i="16" s="1"/>
  <c r="X18" i="16" s="1"/>
  <c r="P19" i="16"/>
  <c r="V19" i="16" s="1"/>
  <c r="W19" i="16" s="1"/>
  <c r="X19" i="16" s="1"/>
  <c r="P20" i="16"/>
  <c r="V20" i="16" s="1"/>
  <c r="W20" i="16" s="1"/>
  <c r="X20" i="16" s="1"/>
  <c r="P21" i="16"/>
  <c r="V21" i="16" s="1"/>
  <c r="W21" i="16" s="1"/>
  <c r="X21" i="16" s="1"/>
  <c r="E19" i="12" l="1"/>
  <c r="J4" i="20"/>
  <c r="W52" i="20"/>
  <c r="X52" i="20" s="1"/>
  <c r="F19" i="12"/>
  <c r="K4" i="19"/>
  <c r="J4" i="19"/>
  <c r="J4" i="18"/>
  <c r="K4" i="21"/>
  <c r="J4" i="21"/>
  <c r="W4" i="22" l="1"/>
  <c r="C17" i="12" s="1"/>
  <c r="W4" i="21"/>
  <c r="C16" i="12" s="1"/>
  <c r="W4" i="20"/>
  <c r="C15" i="12" s="1"/>
  <c r="X4" i="20"/>
  <c r="D15" i="12" s="1"/>
  <c r="W4" i="19"/>
  <c r="C14" i="12" s="1"/>
  <c r="X4" i="19"/>
  <c r="D14" i="12" s="1"/>
  <c r="X4" i="18"/>
  <c r="D13" i="12" s="1"/>
  <c r="W4" i="18"/>
  <c r="C13" i="12" s="1"/>
  <c r="X4" i="17"/>
  <c r="D10" i="12" s="1"/>
  <c r="W4" i="17"/>
  <c r="C10" i="12" s="1"/>
  <c r="X4" i="22" l="1"/>
  <c r="D17" i="12" s="1"/>
  <c r="X4" i="21"/>
  <c r="D16" i="12" s="1"/>
  <c r="P23" i="16" l="1"/>
  <c r="V23" i="16" s="1"/>
  <c r="J23" i="16"/>
  <c r="W23" i="16" s="1"/>
  <c r="X23" i="16" s="1"/>
  <c r="P22" i="16"/>
  <c r="V22" i="16" s="1"/>
  <c r="W22" i="16" s="1"/>
  <c r="X22" i="16" s="1"/>
  <c r="P8" i="16"/>
  <c r="V8" i="16" s="1"/>
  <c r="J8" i="16"/>
  <c r="W8" i="16" s="1"/>
  <c r="X8" i="16" s="1"/>
  <c r="P7" i="16"/>
  <c r="V7" i="16" s="1"/>
  <c r="J7" i="16"/>
  <c r="W7" i="16" s="1"/>
  <c r="X7" i="16" s="1"/>
  <c r="P6" i="16"/>
  <c r="V6" i="16" s="1"/>
  <c r="W6" i="16" s="1"/>
  <c r="X6" i="16" s="1"/>
  <c r="J4" i="16" l="1"/>
  <c r="W4" i="16" l="1"/>
  <c r="C12" i="12" s="1"/>
  <c r="X4" i="16" l="1"/>
  <c r="D12" i="12" s="1"/>
  <c r="B12" i="12"/>
  <c r="B18" i="12" l="1"/>
  <c r="N14" i="14"/>
  <c r="W14" i="14" s="1"/>
  <c r="X14" i="14" s="1"/>
  <c r="P17" i="14" l="1"/>
  <c r="V17" i="14" s="1"/>
  <c r="P24" i="14"/>
  <c r="V24" i="14" s="1"/>
  <c r="J4" i="14" l="1"/>
  <c r="P26" i="15" l="1"/>
  <c r="V26" i="15" s="1"/>
  <c r="W26" i="15" s="1"/>
  <c r="X26" i="15" s="1"/>
  <c r="P25" i="15"/>
  <c r="V25" i="15" s="1"/>
  <c r="W25" i="15" s="1"/>
  <c r="X25" i="15" s="1"/>
  <c r="P23" i="15"/>
  <c r="V23" i="15" s="1"/>
  <c r="W23" i="15" s="1"/>
  <c r="X23" i="15" s="1"/>
  <c r="N7" i="14" l="1"/>
  <c r="W7" i="14" s="1"/>
  <c r="X7" i="14" s="1"/>
  <c r="N8" i="14"/>
  <c r="W8" i="14" s="1"/>
  <c r="X8" i="14" s="1"/>
  <c r="N9" i="14"/>
  <c r="W9" i="14" s="1"/>
  <c r="X9" i="14" s="1"/>
  <c r="N10" i="14"/>
  <c r="W10" i="14" s="1"/>
  <c r="X10" i="14" s="1"/>
  <c r="N11" i="14"/>
  <c r="W11" i="14" s="1"/>
  <c r="X11" i="14" s="1"/>
  <c r="N12" i="14"/>
  <c r="W12" i="14" s="1"/>
  <c r="X12" i="14" s="1"/>
  <c r="N13" i="14"/>
  <c r="W13" i="14" s="1"/>
  <c r="X13" i="14" s="1"/>
  <c r="N15" i="14"/>
  <c r="W15" i="14" s="1"/>
  <c r="X15" i="14" s="1"/>
  <c r="N16" i="14"/>
  <c r="W16" i="14" s="1"/>
  <c r="X16" i="14" s="1"/>
  <c r="N17" i="14"/>
  <c r="W17" i="14" s="1"/>
  <c r="X17" i="14" s="1"/>
  <c r="N18" i="14"/>
  <c r="W18" i="14" s="1"/>
  <c r="X18" i="14" s="1"/>
  <c r="N19" i="14"/>
  <c r="W19" i="14" s="1"/>
  <c r="X19" i="14" s="1"/>
  <c r="N20" i="14"/>
  <c r="W20" i="14" s="1"/>
  <c r="X20" i="14" s="1"/>
  <c r="N21" i="14"/>
  <c r="W21" i="14" s="1"/>
  <c r="X21" i="14" s="1"/>
  <c r="N22" i="14"/>
  <c r="W22" i="14" s="1"/>
  <c r="X22" i="14" s="1"/>
  <c r="N23" i="14"/>
  <c r="W23" i="14" s="1"/>
  <c r="X23" i="14" s="1"/>
  <c r="N24" i="14"/>
  <c r="W24" i="14" s="1"/>
  <c r="X24" i="14" s="1"/>
  <c r="N25" i="14"/>
  <c r="W25" i="14" s="1"/>
  <c r="X25" i="14" s="1"/>
  <c r="N26" i="14"/>
  <c r="W26" i="14" s="1"/>
  <c r="X26" i="14" s="1"/>
  <c r="N6" i="14"/>
  <c r="W6" i="14" s="1"/>
  <c r="X6" i="14" s="1"/>
  <c r="W4" i="15" l="1"/>
  <c r="C11" i="12" s="1"/>
  <c r="X4" i="15"/>
  <c r="D11" i="12" s="1"/>
  <c r="W4" i="14" l="1"/>
  <c r="X4" i="14"/>
  <c r="D18" i="12" l="1"/>
  <c r="D19" i="12" s="1"/>
  <c r="C18" i="12"/>
  <c r="C19" i="12" s="1"/>
</calcChain>
</file>

<file path=xl/comments1.xml><?xml version="1.0" encoding="utf-8"?>
<comments xmlns="http://schemas.openxmlformats.org/spreadsheetml/2006/main">
  <authors>
    <author>Václav Andrle</author>
  </authors>
  <commentList>
    <comment ref="F7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Václav Andrle:
dělá se 2x, pokaždé jiné středisko
</t>
        </r>
      </text>
    </comment>
    <comment ref="F121" authorId="0" shapeId="0">
      <text>
        <r>
          <rPr>
            <b/>
            <sz val="9"/>
            <color indexed="81"/>
            <rFont val="Tahoma"/>
            <family val="2"/>
            <charset val="238"/>
          </rPr>
          <t>Václav Andrle:</t>
        </r>
        <r>
          <rPr>
            <sz val="9"/>
            <color indexed="81"/>
            <rFont val="Tahoma"/>
            <family val="2"/>
            <charset val="238"/>
          </rPr>
          <t xml:space="preserve">
dělá se 2x, pokaždé jiné středisko
</t>
        </r>
      </text>
    </comment>
  </commentList>
</comments>
</file>

<file path=xl/sharedStrings.xml><?xml version="1.0" encoding="utf-8"?>
<sst xmlns="http://schemas.openxmlformats.org/spreadsheetml/2006/main" count="11123" uniqueCount="1785">
  <si>
    <t>SATN</t>
  </si>
  <si>
    <t>CHOD</t>
  </si>
  <si>
    <t>ZDR1</t>
  </si>
  <si>
    <t>ZDR2</t>
  </si>
  <si>
    <t>JIP1</t>
  </si>
  <si>
    <t>JIP2</t>
  </si>
  <si>
    <t>KUCH</t>
  </si>
  <si>
    <t>VYTA</t>
  </si>
  <si>
    <t>výtahy, zdviže</t>
  </si>
  <si>
    <t>KANC</t>
  </si>
  <si>
    <t>ZAKR</t>
  </si>
  <si>
    <t>SCHO</t>
  </si>
  <si>
    <t>schodiště, podesty</t>
  </si>
  <si>
    <t>SKLA</t>
  </si>
  <si>
    <t>TOAL</t>
  </si>
  <si>
    <t>STSL2</t>
  </si>
  <si>
    <t>VENK</t>
  </si>
  <si>
    <t>venkovní terasy a schodiště, balkony</t>
  </si>
  <si>
    <t>bez DPH</t>
  </si>
  <si>
    <t>s DPH</t>
  </si>
  <si>
    <t>Vysvětlivky :</t>
  </si>
  <si>
    <t>5xPo-Pá</t>
  </si>
  <si>
    <t>2x(7xPo-Ne)</t>
  </si>
  <si>
    <t>D =</t>
  </si>
  <si>
    <t xml:space="preserve"> Dlažba</t>
  </si>
  <si>
    <t>P =</t>
  </si>
  <si>
    <t xml:space="preserve"> PVC, lino</t>
  </si>
  <si>
    <t>DŘ =</t>
  </si>
  <si>
    <t xml:space="preserve"> Dřevěná podlaha</t>
  </si>
  <si>
    <t>K =</t>
  </si>
  <si>
    <t xml:space="preserve"> Koberec</t>
  </si>
  <si>
    <t>B =</t>
  </si>
  <si>
    <t xml:space="preserve"> Beton</t>
  </si>
  <si>
    <t>N =</t>
  </si>
  <si>
    <t xml:space="preserve"> Nerez</t>
  </si>
  <si>
    <t>T =</t>
  </si>
  <si>
    <t xml:space="preserve"> Lité teraco</t>
  </si>
  <si>
    <t>S =</t>
  </si>
  <si>
    <t xml:space="preserve"> Stěrka epoxy</t>
  </si>
  <si>
    <t>Jednotková cena v Kč/m2 *)</t>
  </si>
  <si>
    <t>Číslo</t>
  </si>
  <si>
    <t>Úklid po havárii (mimořádné události)</t>
  </si>
  <si>
    <t>*) U oken se rozumí sazba za umytí plochy z jedné strany, včetně rámů.</t>
  </si>
  <si>
    <t>Voskování podlah (vč. materiálu)</t>
  </si>
  <si>
    <t>Název služby</t>
  </si>
  <si>
    <t>Kód</t>
  </si>
  <si>
    <t>Druh prostoru</t>
  </si>
  <si>
    <t>Jednotková cena</t>
  </si>
  <si>
    <t>Kč/m2 *)</t>
  </si>
  <si>
    <t>ručně</t>
  </si>
  <si>
    <t>D</t>
  </si>
  <si>
    <t>P</t>
  </si>
  <si>
    <t>K</t>
  </si>
  <si>
    <t>chodba</t>
  </si>
  <si>
    <t>1.NP</t>
  </si>
  <si>
    <t>CHODBA</t>
  </si>
  <si>
    <r>
      <t>Sazba za m</t>
    </r>
    <r>
      <rPr>
        <b/>
        <vertAlign val="superscript"/>
        <sz val="8"/>
        <color indexed="8"/>
        <rFont val="Arial"/>
        <family val="2"/>
      </rPr>
      <t xml:space="preserve">2 </t>
    </r>
    <r>
      <rPr>
        <b/>
        <sz val="8"/>
        <color indexed="8"/>
        <rFont val="Arial"/>
        <family val="2"/>
      </rPr>
      <t>nebo za hodinu</t>
    </r>
  </si>
  <si>
    <t>Způsob úklidu</t>
  </si>
  <si>
    <t>Klasifikace povrchu podlahy</t>
  </si>
  <si>
    <t>Četnost úklidu</t>
  </si>
  <si>
    <t>Poznámka</t>
  </si>
  <si>
    <t>Název místnosti / prostoru</t>
  </si>
  <si>
    <t>Číslo místnosti</t>
  </si>
  <si>
    <t>Kožní ambulance</t>
  </si>
  <si>
    <t>T</t>
  </si>
  <si>
    <t>2x(5xPo-Pá)</t>
  </si>
  <si>
    <t>zhotovitel</t>
  </si>
  <si>
    <t>Interna JIP</t>
  </si>
  <si>
    <t>Úklid</t>
  </si>
  <si>
    <t>Dětské ambulance</t>
  </si>
  <si>
    <t>DENNÍ MÍSTNOST</t>
  </si>
  <si>
    <t>Podlaha, měrná jednotka</t>
  </si>
  <si>
    <t>Podlaží</t>
  </si>
  <si>
    <t>Část budovy / provoz</t>
  </si>
  <si>
    <t>Typ služby, dodávky</t>
  </si>
  <si>
    <t>Budova</t>
  </si>
  <si>
    <t>Nabídková cena</t>
  </si>
  <si>
    <t>pokoje pacientů</t>
  </si>
  <si>
    <t>ZDR0</t>
  </si>
  <si>
    <t xml:space="preserve">vyšetřovny, ordinace, sesterny, převazovny, inspekční pokoje, ambulance, čisté přípravny, ambulantní a lůžkové složky </t>
  </si>
  <si>
    <t>laboratoře, odběrové místnosti, ambulance chirurgických oborů, RDG vyšetřovny</t>
  </si>
  <si>
    <t>kanceláře, konferenční místnosti, příjem, informace, lékařské pokoje, recepce, administrativa, tělocvičny, kartotéky, vrátnice, denní místnosti zaměstnanců, pohotovostní místnosti, učebny, studovny</t>
  </si>
  <si>
    <t>zákrokové sálky</t>
  </si>
  <si>
    <t>šatny pacientů, šatny personálu</t>
  </si>
  <si>
    <t>dialýza, novorozenecké boxy, mléčné kuchyně</t>
  </si>
  <si>
    <t>čajové kuchyňky, kuřárny, jídelny</t>
  </si>
  <si>
    <t>sklady, logistické zázemí, archivy, spisovny</t>
  </si>
  <si>
    <t>Mytí oken vč. rámů - obě strany rámů i všech křídel, bez šroubování *)</t>
  </si>
  <si>
    <t>**) U služby, kde je stanovena sazba za časovou jednotku, bude skutečně účtovaný čas zaokrouhlován na skutečně započaté čtvrthodiny.</t>
  </si>
  <si>
    <t>1x(5xPo-Pá)</t>
  </si>
  <si>
    <t>PROSK</t>
  </si>
  <si>
    <t>INF2</t>
  </si>
  <si>
    <t>INF1</t>
  </si>
  <si>
    <t>pokoje pacientů se zvýšeným hygienickým režimem, izolační pokoje, na jakémkoliv oddělení</t>
  </si>
  <si>
    <t>toalety, koupelny, sprchy, čistící místnosti, nečisté předávací místnosti, úklidové místnosti, výlevky, umývárny</t>
  </si>
  <si>
    <t>čekárny, chodby, čisté předávací místnosti, průchody, koridory, zádveří, haly, vestibuly – způsob mytí (ruční vs. strojní) určeno v kalkulaci</t>
  </si>
  <si>
    <t>Kč/hod **)</t>
  </si>
  <si>
    <t>Kód místnosti</t>
  </si>
  <si>
    <t>Číslo kódu</t>
  </si>
  <si>
    <t>Název veřejné zakázky:</t>
  </si>
  <si>
    <t xml:space="preserve">Příloha č. </t>
  </si>
  <si>
    <t>infekční oddělení</t>
  </si>
  <si>
    <t>Čištění koberců včetně čalouněného nábytku</t>
  </si>
  <si>
    <t>Počet stěrů v pracovní den</t>
  </si>
  <si>
    <t>Frekvence úklidu v pracovních dnech v týdnu (Po-Pá)</t>
  </si>
  <si>
    <t>Počet stěrů v den pracovního volna</t>
  </si>
  <si>
    <t>Frekvence úklidu ve dnech pracovního klidu (So, Ne)</t>
  </si>
  <si>
    <t>Počet pracovních dní v roce</t>
  </si>
  <si>
    <t>Počet dní pracovního volna, svátků</t>
  </si>
  <si>
    <t>Počet dnů v roce</t>
  </si>
  <si>
    <t>Počet stěrů v roce</t>
  </si>
  <si>
    <t>STER</t>
  </si>
  <si>
    <t>STSL1</t>
  </si>
  <si>
    <t>= úklid 1x denně v uvedeném období (zde konkrétně každý den od pondělí do pátku)</t>
  </si>
  <si>
    <t>= údaj před závorkou udává četnost úklidu denně, údaj v závorce udává četnost úklidů v uvedeném období (zde konkrétně každý den od pondělí do neděle)</t>
  </si>
  <si>
    <t>TEL</t>
  </si>
  <si>
    <t>příslužba (pohotovost) na telefonu</t>
  </si>
  <si>
    <t>stálá služba – ARO, JIP (bez rozlišení)</t>
  </si>
  <si>
    <t>stálá služba (operační sály, porodní sály, oční sály, ORL sály)</t>
  </si>
  <si>
    <t xml:space="preserve">pokoje intenzivní péče (ARO, JIP) </t>
  </si>
  <si>
    <t>pokoje pacientů s prosklenými příčkami a stěnami</t>
  </si>
  <si>
    <r>
      <t xml:space="preserve"> *) Cena jednoho pravidelného ručního/strojního úklidu plochy místnosti o výměře 1m</t>
    </r>
    <r>
      <rPr>
        <i/>
        <vertAlign val="superscript"/>
        <sz val="10"/>
        <rFont val="Arial CE"/>
        <charset val="238"/>
      </rPr>
      <t>2</t>
    </r>
  </si>
  <si>
    <t xml:space="preserve"> **) Cena hodinového pravidelného ručního/strojního úklidu jedné osoby, která tuto službu vykonává</t>
  </si>
  <si>
    <t>centrální starilizace</t>
  </si>
  <si>
    <r>
      <t>Plocha v 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, počet hodin /den</t>
    </r>
  </si>
  <si>
    <t>-je-li v kolonce četnost úklidu uvedeno, je tím myšleno, že místnost uklízí zhotovitel na své náklady, protože ji používá výhradně pro své potřeby</t>
  </si>
  <si>
    <t>Služby oceňované hodinovou sazbou jsou pro odlišení od ostatních pravidelně uklízených prostor zvýrazněny žlutou barvou</t>
  </si>
  <si>
    <t>***) Sazba je stanovena za hodinu práce, bez ohledu na počet pracovníků, kteří budou tuto službu vykonávat.</t>
  </si>
  <si>
    <t>Jednotková cena v Kč/60 min. **), ***)</t>
  </si>
  <si>
    <t>Interna lůžka</t>
  </si>
  <si>
    <t>401200</t>
  </si>
  <si>
    <t>Interna ambulance</t>
  </si>
  <si>
    <t>401400</t>
  </si>
  <si>
    <t>Interna ambulance diabetologická</t>
  </si>
  <si>
    <t>401401</t>
  </si>
  <si>
    <t>Interna ambulance kardio</t>
  </si>
  <si>
    <t>401402</t>
  </si>
  <si>
    <t>Interna ambulance hepatální</t>
  </si>
  <si>
    <t>401403</t>
  </si>
  <si>
    <t>Interna ambulance gastro</t>
  </si>
  <si>
    <t>401404</t>
  </si>
  <si>
    <t>Neurologie lůžka</t>
  </si>
  <si>
    <t>402100</t>
  </si>
  <si>
    <t>Neurologie JIP</t>
  </si>
  <si>
    <t>402200</t>
  </si>
  <si>
    <t>Neurologie ambulance</t>
  </si>
  <si>
    <t>402400</t>
  </si>
  <si>
    <t>Neurologie ambulance EEG</t>
  </si>
  <si>
    <t>402401</t>
  </si>
  <si>
    <t>Neurologie ambulance EMG</t>
  </si>
  <si>
    <t>402402</t>
  </si>
  <si>
    <t>Neurologie ambulance Polička</t>
  </si>
  <si>
    <t>402403</t>
  </si>
  <si>
    <t>Neurologie ambulance UZ Karotid</t>
  </si>
  <si>
    <t>402404</t>
  </si>
  <si>
    <t>Dětské lůžka</t>
  </si>
  <si>
    <t>403100</t>
  </si>
  <si>
    <t>Dětské ambulance alergologická</t>
  </si>
  <si>
    <t>403400</t>
  </si>
  <si>
    <t>Dětské ambulance endokrinologie</t>
  </si>
  <si>
    <t>403401</t>
  </si>
  <si>
    <t>Dětské děti a dorost</t>
  </si>
  <si>
    <t>403402</t>
  </si>
  <si>
    <t>403403</t>
  </si>
  <si>
    <t>LDN následná péče lůžka</t>
  </si>
  <si>
    <t>406300</t>
  </si>
  <si>
    <t>Kožní lůžka</t>
  </si>
  <si>
    <t>409100</t>
  </si>
  <si>
    <t>409400</t>
  </si>
  <si>
    <t>Rehabilitace lůžka</t>
  </si>
  <si>
    <t>411100</t>
  </si>
  <si>
    <t>Rehabilitace ambulance - lékař</t>
  </si>
  <si>
    <t>411400</t>
  </si>
  <si>
    <t>Rehabilitace ambulance - sestry</t>
  </si>
  <si>
    <t>411401</t>
  </si>
  <si>
    <t>LSPP ambulance dospělá</t>
  </si>
  <si>
    <t>415400</t>
  </si>
  <si>
    <t>LSPP ambulance dětská</t>
  </si>
  <si>
    <t>415401</t>
  </si>
  <si>
    <t>ARO JIP lůžka</t>
  </si>
  <si>
    <t>417200</t>
  </si>
  <si>
    <t>ARO ambulance</t>
  </si>
  <si>
    <t>417400</t>
  </si>
  <si>
    <t>ARO ambulance - nutriční</t>
  </si>
  <si>
    <t>417402</t>
  </si>
  <si>
    <t>Chirurgie lůžka - A</t>
  </si>
  <si>
    <t>430100</t>
  </si>
  <si>
    <t>Chirurgie lůžka - B</t>
  </si>
  <si>
    <t>430101</t>
  </si>
  <si>
    <t>Chirurgie JIP</t>
  </si>
  <si>
    <t>430200</t>
  </si>
  <si>
    <t>Chirurgie ambulance</t>
  </si>
  <si>
    <t>430400</t>
  </si>
  <si>
    <t>Ortopedie lůžka</t>
  </si>
  <si>
    <t>432100</t>
  </si>
  <si>
    <t>Ortopedie ambulance</t>
  </si>
  <si>
    <t>432400</t>
  </si>
  <si>
    <t>Urologie ambulance</t>
  </si>
  <si>
    <t>433400</t>
  </si>
  <si>
    <t>Oční lůžka</t>
  </si>
  <si>
    <t>435100</t>
  </si>
  <si>
    <t>Oční ambulance</t>
  </si>
  <si>
    <t>435400</t>
  </si>
  <si>
    <t>Oční ambulance - diabetologická</t>
  </si>
  <si>
    <t>435401</t>
  </si>
  <si>
    <t>Oční ambulance - glaukomová</t>
  </si>
  <si>
    <t>435402</t>
  </si>
  <si>
    <t>Oční ambulance - OCT</t>
  </si>
  <si>
    <t>435403</t>
  </si>
  <si>
    <t>Por.-gynekologické lůžka</t>
  </si>
  <si>
    <t>438100</t>
  </si>
  <si>
    <t>Por.-gynekologické ambulance</t>
  </si>
  <si>
    <t>438400</t>
  </si>
  <si>
    <t>Klinická biochemie laboratoř</t>
  </si>
  <si>
    <t>450500</t>
  </si>
  <si>
    <t>MAMO přístrojové pracoviště</t>
  </si>
  <si>
    <t>451400</t>
  </si>
  <si>
    <t>RDG přístrojové pracoviště</t>
  </si>
  <si>
    <t>451500</t>
  </si>
  <si>
    <t>Mikrobiologie laboratoř</t>
  </si>
  <si>
    <t>452500</t>
  </si>
  <si>
    <t>Patologie laboratoř</t>
  </si>
  <si>
    <t>453500</t>
  </si>
  <si>
    <t>Klinická hematologie ambulance</t>
  </si>
  <si>
    <t>455400</t>
  </si>
  <si>
    <t>Klinická hematologie laboratoř</t>
  </si>
  <si>
    <t>455500</t>
  </si>
  <si>
    <t>Transfúzní ambulance</t>
  </si>
  <si>
    <t>456400</t>
  </si>
  <si>
    <t>Centrální operační sály</t>
  </si>
  <si>
    <t>460600</t>
  </si>
  <si>
    <t>Centrální operační sály sanitáři</t>
  </si>
  <si>
    <t>Centrální sterilizace</t>
  </si>
  <si>
    <t>462600</t>
  </si>
  <si>
    <t>Lékárna nemocnice</t>
  </si>
  <si>
    <t>470700</t>
  </si>
  <si>
    <t>Lékárna veřejnost</t>
  </si>
  <si>
    <t>471700</t>
  </si>
  <si>
    <t>Krizová připravenost</t>
  </si>
  <si>
    <t>479804</t>
  </si>
  <si>
    <t>Ř Ředitelství</t>
  </si>
  <si>
    <t>481000</t>
  </si>
  <si>
    <t>Ř Náměstek pro ošetřovatelskou péči</t>
  </si>
  <si>
    <t>481100</t>
  </si>
  <si>
    <t>EK Ekonomika, finanční účtárna</t>
  </si>
  <si>
    <t>482040</t>
  </si>
  <si>
    <t>EK Zúčtování účetních případů</t>
  </si>
  <si>
    <t>482990</t>
  </si>
  <si>
    <t>NAK Sklad SZM</t>
  </si>
  <si>
    <t>483020</t>
  </si>
  <si>
    <t>NAK Sklad MTZ</t>
  </si>
  <si>
    <t>483021</t>
  </si>
  <si>
    <t>ZP Oddělení financování zdravotní péče</t>
  </si>
  <si>
    <t>484000</t>
  </si>
  <si>
    <t>ICT Informatici</t>
  </si>
  <si>
    <t>485000</t>
  </si>
  <si>
    <t>PAM Personální - osobní</t>
  </si>
  <si>
    <t>486010</t>
  </si>
  <si>
    <t>PAM Personální - mzdová účtárna</t>
  </si>
  <si>
    <t>486020</t>
  </si>
  <si>
    <t>THP Projekty ROP1</t>
  </si>
  <si>
    <t>487010</t>
  </si>
  <si>
    <t>Zdravotní technika a metrologie</t>
  </si>
  <si>
    <t>Zdravotní dopravní služba</t>
  </si>
  <si>
    <t>Energetika</t>
  </si>
  <si>
    <t>Odpadové hospodářství</t>
  </si>
  <si>
    <t>Podatelna a spisovna</t>
  </si>
  <si>
    <t>487530</t>
  </si>
  <si>
    <t>Cafeterie</t>
  </si>
  <si>
    <t>Hospodářská správa</t>
  </si>
  <si>
    <t>Vrátnice, parkoviště</t>
  </si>
  <si>
    <t>Údržba</t>
  </si>
  <si>
    <t>Údržba areál</t>
  </si>
  <si>
    <t>Údržba vzduchotechnika, elektro</t>
  </si>
  <si>
    <t>Doprava - provoz</t>
  </si>
  <si>
    <t>EK Koeficient DPH</t>
  </si>
  <si>
    <t>499800</t>
  </si>
  <si>
    <t>Bartoš Milan</t>
  </si>
  <si>
    <t>Čižinský Tomáš</t>
  </si>
  <si>
    <t>Havlík Miloslav</t>
  </si>
  <si>
    <t>Chlumecký Zdeněk</t>
  </si>
  <si>
    <t>Jakoubková Milosla</t>
  </si>
  <si>
    <t>Jiskra Jan</t>
  </si>
  <si>
    <t>Majerová Soňa</t>
  </si>
  <si>
    <t>Maloch Zdeněk</t>
  </si>
  <si>
    <t>Seidl Drahomír</t>
  </si>
  <si>
    <t>Slepička Jan</t>
  </si>
  <si>
    <t>Smutková Iva</t>
  </si>
  <si>
    <t>Sršeň David</t>
  </si>
  <si>
    <t>Tvrdek Pavel</t>
  </si>
  <si>
    <t>Zrzavý Radek</t>
  </si>
  <si>
    <t>Hospodářské středisko</t>
  </si>
  <si>
    <t>Číslo HS</t>
  </si>
  <si>
    <t>Lékárna</t>
  </si>
  <si>
    <t>VÝDEJ LÉČIV S ČEKÁRNOU</t>
  </si>
  <si>
    <t>PRACOVNA LÉKÁRNÍKA</t>
  </si>
  <si>
    <t>MÍSTNOST PRO UCHOVÁNÍ LÉČIV I.</t>
  </si>
  <si>
    <t>PŘÍPRAVA LÉČIV</t>
  </si>
  <si>
    <t>PŘÍPRAVA ROZTOKŮ</t>
  </si>
  <si>
    <t>UMÝVÁRNA, SKLAD ČISTÉHO SKLA</t>
  </si>
  <si>
    <t>ANALYTICKÁ LABORATOŘ, KONTROLA</t>
  </si>
  <si>
    <t>ÚKLIDOVÁ KOMORA</t>
  </si>
  <si>
    <t>ŠATNA PERSONÁLU</t>
  </si>
  <si>
    <t>SPRCHA</t>
  </si>
  <si>
    <t>PŘEDSÍŇ WC-ŽENY</t>
  </si>
  <si>
    <t>WC-ŽENY</t>
  </si>
  <si>
    <t>PŘEDSÍŇ WC-MUŽI</t>
  </si>
  <si>
    <t>WC-MUŽI</t>
  </si>
  <si>
    <t>MÍSTNOST PRO UCHOVÁNÍ LÉČIV II.</t>
  </si>
  <si>
    <t>VÝDEJ NA ŽÁDANKY</t>
  </si>
  <si>
    <t>PROSTOR PŘEDÁVACÍ STANICE</t>
  </si>
  <si>
    <t>PŘÍJEM DODÁVEK</t>
  </si>
  <si>
    <t>SKLAD OBALŮ</t>
  </si>
  <si>
    <t>LÉKÁRNA</t>
  </si>
  <si>
    <t>Kožní</t>
  </si>
  <si>
    <t>487700</t>
  </si>
  <si>
    <t>122A</t>
  </si>
  <si>
    <t>dispečink</t>
  </si>
  <si>
    <t>kancelář - vedoucí, garážmistr</t>
  </si>
  <si>
    <t>odpočinková místnost</t>
  </si>
  <si>
    <t>šatna - muži</t>
  </si>
  <si>
    <t>šatna - ženy</t>
  </si>
  <si>
    <t>WC - muži, ženy</t>
  </si>
  <si>
    <t>denní místnost - kuchyňka</t>
  </si>
  <si>
    <t>1x(1xPo-Pá)</t>
  </si>
  <si>
    <t>1x(Út ,Pa)</t>
  </si>
  <si>
    <t>SPRÁVNÍ</t>
  </si>
  <si>
    <t>ekonomické odd</t>
  </si>
  <si>
    <t>2.NP</t>
  </si>
  <si>
    <t>kancelář</t>
  </si>
  <si>
    <t>2.14</t>
  </si>
  <si>
    <t>knihovna</t>
  </si>
  <si>
    <t>1xtýdně PÁ</t>
  </si>
  <si>
    <t>stravovací</t>
  </si>
  <si>
    <t>1.PP</t>
  </si>
  <si>
    <t>0.01</t>
  </si>
  <si>
    <t>schodiště</t>
  </si>
  <si>
    <t>B</t>
  </si>
  <si>
    <t>2xtýdně ÚT,PÁ</t>
  </si>
  <si>
    <t>Uhelna</t>
  </si>
  <si>
    <t>Sklad</t>
  </si>
  <si>
    <t>špinavé prádlo</t>
  </si>
  <si>
    <t>3xPo-Pá</t>
  </si>
  <si>
    <t>1.01</t>
  </si>
  <si>
    <t>2.01</t>
  </si>
  <si>
    <t>2.02</t>
  </si>
  <si>
    <t>I</t>
  </si>
  <si>
    <t>2.03</t>
  </si>
  <si>
    <t>II</t>
  </si>
  <si>
    <t>2.04</t>
  </si>
  <si>
    <t>hala</t>
  </si>
  <si>
    <t>vestibul před jídelnou</t>
  </si>
  <si>
    <t>2.05</t>
  </si>
  <si>
    <t>IT</t>
  </si>
  <si>
    <t>2.06</t>
  </si>
  <si>
    <t>epidemiologická</t>
  </si>
  <si>
    <t>2.07</t>
  </si>
  <si>
    <t>WC+sprcha</t>
  </si>
  <si>
    <t>2.08</t>
  </si>
  <si>
    <t>mzd.účtárna</t>
  </si>
  <si>
    <t>2.09</t>
  </si>
  <si>
    <t>finanč.účtárna</t>
  </si>
  <si>
    <t>2.10</t>
  </si>
  <si>
    <t>ekonomka</t>
  </si>
  <si>
    <t>2.11</t>
  </si>
  <si>
    <t>server</t>
  </si>
  <si>
    <t>2.12</t>
  </si>
  <si>
    <t>2.13</t>
  </si>
  <si>
    <t>evidence pojišť.</t>
  </si>
  <si>
    <t>1. NP</t>
  </si>
  <si>
    <t>chodba + vestibul</t>
  </si>
  <si>
    <t>ruční</t>
  </si>
  <si>
    <t>světloléčba</t>
  </si>
  <si>
    <t>3xtýdně PO,ST,PÁ</t>
  </si>
  <si>
    <t>pneuven</t>
  </si>
  <si>
    <t>zákrokový sálek</t>
  </si>
  <si>
    <t>2xtýdně PO,ST</t>
  </si>
  <si>
    <t>primář</t>
  </si>
  <si>
    <t>lékaři</t>
  </si>
  <si>
    <t>sestry</t>
  </si>
  <si>
    <t>ordinace lékař 1</t>
  </si>
  <si>
    <t>kartotéka vyšetřovna</t>
  </si>
  <si>
    <t>ordinace lékař 2</t>
  </si>
  <si>
    <t>čekárna</t>
  </si>
  <si>
    <t>ŘEDITELSTVÍ</t>
  </si>
  <si>
    <t>Vrátnice</t>
  </si>
  <si>
    <t>trezor</t>
  </si>
  <si>
    <t>není předmětem</t>
  </si>
  <si>
    <t>0.02</t>
  </si>
  <si>
    <t>sklad</t>
  </si>
  <si>
    <t>0.03</t>
  </si>
  <si>
    <t>0.04</t>
  </si>
  <si>
    <t>vchod (vstup)</t>
  </si>
  <si>
    <t>veranda venkovní</t>
  </si>
  <si>
    <t>1.02</t>
  </si>
  <si>
    <t>závětří</t>
  </si>
  <si>
    <t>1.03</t>
  </si>
  <si>
    <t>zádveří</t>
  </si>
  <si>
    <t>neobsazeno</t>
  </si>
  <si>
    <t>1.04</t>
  </si>
  <si>
    <t>vrátnice</t>
  </si>
  <si>
    <t>1.07 A</t>
  </si>
  <si>
    <t>WC - vestibul</t>
  </si>
  <si>
    <t>personální</t>
  </si>
  <si>
    <t>1.07 B</t>
  </si>
  <si>
    <t>sprcha - vestibul</t>
  </si>
  <si>
    <t>1.08 A</t>
  </si>
  <si>
    <t>pacient</t>
  </si>
  <si>
    <t>1.08 B</t>
  </si>
  <si>
    <t>předsíň pacient</t>
  </si>
  <si>
    <t>1.09</t>
  </si>
  <si>
    <t>předsíň personál</t>
  </si>
  <si>
    <t>1.10</t>
  </si>
  <si>
    <t>vestibul</t>
  </si>
  <si>
    <t>1.15</t>
  </si>
  <si>
    <t>1.16</t>
  </si>
  <si>
    <t>1.17</t>
  </si>
  <si>
    <t>telefonní ústředna</t>
  </si>
  <si>
    <t>1.20</t>
  </si>
  <si>
    <t>1.21</t>
  </si>
  <si>
    <t>předsíň</t>
  </si>
  <si>
    <t>1.26</t>
  </si>
  <si>
    <t>1.27</t>
  </si>
  <si>
    <t>pokladna</t>
  </si>
  <si>
    <t>1.28</t>
  </si>
  <si>
    <t>dispečer</t>
  </si>
  <si>
    <t>Vrátnice Rehabilitace</t>
  </si>
  <si>
    <t>1.11</t>
  </si>
  <si>
    <t>ambulance</t>
  </si>
  <si>
    <t>LSPP - sestra</t>
  </si>
  <si>
    <t>1.12</t>
  </si>
  <si>
    <t>LSPP - lékař</t>
  </si>
  <si>
    <t>Vrátnice-Pohotovost</t>
  </si>
  <si>
    <t>1.05</t>
  </si>
  <si>
    <t>LSPP</t>
  </si>
  <si>
    <t>2xso-ne</t>
  </si>
  <si>
    <t>1.06 A</t>
  </si>
  <si>
    <t>WC</t>
  </si>
  <si>
    <t>1.06 B</t>
  </si>
  <si>
    <t>Vrátnice-PS+Nutriční poradna</t>
  </si>
  <si>
    <t>1.13 A</t>
  </si>
  <si>
    <t>WC - nákup</t>
  </si>
  <si>
    <t>personál</t>
  </si>
  <si>
    <t>1.14 A</t>
  </si>
  <si>
    <t>předsíňka</t>
  </si>
  <si>
    <t>1.14 B</t>
  </si>
  <si>
    <t>výlevka</t>
  </si>
  <si>
    <t>1.13 B</t>
  </si>
  <si>
    <t>1.22</t>
  </si>
  <si>
    <t>nutriční poradna</t>
  </si>
  <si>
    <t>1.23</t>
  </si>
  <si>
    <t>sociální sestra</t>
  </si>
  <si>
    <t>1.18</t>
  </si>
  <si>
    <t>nákup</t>
  </si>
  <si>
    <t>1.19 A</t>
  </si>
  <si>
    <t>nákup - Nováčková</t>
  </si>
  <si>
    <t>1.19 B</t>
  </si>
  <si>
    <t>Ředitelství</t>
  </si>
  <si>
    <t>sekretariát</t>
  </si>
  <si>
    <t>ředitel</t>
  </si>
  <si>
    <t>DŘ</t>
  </si>
  <si>
    <t>hl.sestra</t>
  </si>
  <si>
    <t>HTS</t>
  </si>
  <si>
    <t>archiv</t>
  </si>
  <si>
    <t>2.15</t>
  </si>
  <si>
    <t>IDG</t>
  </si>
  <si>
    <t>IDG - oddělení infekční diagnostiky</t>
  </si>
  <si>
    <t>1.02.a</t>
  </si>
  <si>
    <t>1.02.b</t>
  </si>
  <si>
    <t>1.02.c</t>
  </si>
  <si>
    <t>1.06</t>
  </si>
  <si>
    <t>1.07</t>
  </si>
  <si>
    <t>laboratoř</t>
  </si>
  <si>
    <t>mykobakterologie</t>
  </si>
  <si>
    <t>1.08</t>
  </si>
  <si>
    <t>odpady</t>
  </si>
  <si>
    <t>1.10.a</t>
  </si>
  <si>
    <t>umývárna</t>
  </si>
  <si>
    <t>1.10.b</t>
  </si>
  <si>
    <t>mediplyny</t>
  </si>
  <si>
    <t>mykologie</t>
  </si>
  <si>
    <t>hlavní</t>
  </si>
  <si>
    <t>1.13</t>
  </si>
  <si>
    <t>sklo</t>
  </si>
  <si>
    <t>1.14</t>
  </si>
  <si>
    <t>chlad. skříně</t>
  </si>
  <si>
    <t>hořlavin</t>
  </si>
  <si>
    <t>1xtýdně</t>
  </si>
  <si>
    <t xml:space="preserve">vrchní </t>
  </si>
  <si>
    <t>odběrová místnost</t>
  </si>
  <si>
    <t>příjem materiálu</t>
  </si>
  <si>
    <t>1.19</t>
  </si>
  <si>
    <t>denní místnost</t>
  </si>
  <si>
    <t>zaměstnanců</t>
  </si>
  <si>
    <t>šatna</t>
  </si>
  <si>
    <t>malá</t>
  </si>
  <si>
    <t>1.25</t>
  </si>
  <si>
    <t>1.24</t>
  </si>
  <si>
    <t>velká</t>
  </si>
  <si>
    <t>VŠ</t>
  </si>
  <si>
    <t>akumulátor</t>
  </si>
  <si>
    <t>neoceňuje se</t>
  </si>
  <si>
    <t>2.22</t>
  </si>
  <si>
    <t>URO</t>
  </si>
  <si>
    <t>enteroinfekce</t>
  </si>
  <si>
    <t>strojovna</t>
  </si>
  <si>
    <t>výtahu</t>
  </si>
  <si>
    <t>výtah</t>
  </si>
  <si>
    <t>ATB I</t>
  </si>
  <si>
    <t>ATB II</t>
  </si>
  <si>
    <t>ATB klinická</t>
  </si>
  <si>
    <t>zástupce primáře</t>
  </si>
  <si>
    <t>VŠ -nelékař</t>
  </si>
  <si>
    <t>2.16</t>
  </si>
  <si>
    <t>2.17</t>
  </si>
  <si>
    <t>2.18</t>
  </si>
  <si>
    <t>PCR III</t>
  </si>
  <si>
    <t>2.19</t>
  </si>
  <si>
    <t>PCR II</t>
  </si>
  <si>
    <t>2.20</t>
  </si>
  <si>
    <t>PCR I</t>
  </si>
  <si>
    <t>2.21</t>
  </si>
  <si>
    <t>AXIM</t>
  </si>
  <si>
    <t>destilační box</t>
  </si>
  <si>
    <t>2.23</t>
  </si>
  <si>
    <t>ELISA</t>
  </si>
  <si>
    <t>INTERNA</t>
  </si>
  <si>
    <t>Interna</t>
  </si>
  <si>
    <t>Vyšetřovna 1 - kardio</t>
  </si>
  <si>
    <t>EKG</t>
  </si>
  <si>
    <t>Vyšetřovna 3</t>
  </si>
  <si>
    <t>0.05</t>
  </si>
  <si>
    <t>Vyšetřovna 4</t>
  </si>
  <si>
    <t>0.06</t>
  </si>
  <si>
    <t>Sestra - diabetologie</t>
  </si>
  <si>
    <t>0.07</t>
  </si>
  <si>
    <t>P+K</t>
  </si>
  <si>
    <t>7xPo-Ne</t>
  </si>
  <si>
    <t>0.09</t>
  </si>
  <si>
    <t>muži</t>
  </si>
  <si>
    <t>ženy</t>
  </si>
  <si>
    <t xml:space="preserve">strojovna </t>
  </si>
  <si>
    <t>VZT malá</t>
  </si>
  <si>
    <t>STACIONÁŘ</t>
  </si>
  <si>
    <t xml:space="preserve"> </t>
  </si>
  <si>
    <t>stacionář</t>
  </si>
  <si>
    <t>růžovka</t>
  </si>
  <si>
    <t>vstup venkovní</t>
  </si>
  <si>
    <t>kartotéka</t>
  </si>
  <si>
    <t>technická místnost</t>
  </si>
  <si>
    <t>kolektor</t>
  </si>
  <si>
    <t>el. rozvodna</t>
  </si>
  <si>
    <t>kuchyňka</t>
  </si>
  <si>
    <t>čajová</t>
  </si>
  <si>
    <t>úklid</t>
  </si>
  <si>
    <t>pacienti</t>
  </si>
  <si>
    <t>sociální zařízení</t>
  </si>
  <si>
    <t>pracovna sester</t>
  </si>
  <si>
    <t>přípravna</t>
  </si>
  <si>
    <t>3x(7xPo-Ne)</t>
  </si>
  <si>
    <t>prádlo</t>
  </si>
  <si>
    <t>koupelna</t>
  </si>
  <si>
    <t>sanitace</t>
  </si>
  <si>
    <t>myčka</t>
  </si>
  <si>
    <t>lékař</t>
  </si>
  <si>
    <t>sesterna</t>
  </si>
  <si>
    <t>staniční s.</t>
  </si>
  <si>
    <t>pokoj</t>
  </si>
  <si>
    <t>1lůžkový</t>
  </si>
  <si>
    <t>2lůžkový</t>
  </si>
  <si>
    <t>centr. pult</t>
  </si>
  <si>
    <t>vyšetřovna/pokoj</t>
  </si>
  <si>
    <t>filtr</t>
  </si>
  <si>
    <t>hyg.propust</t>
  </si>
  <si>
    <t>JIP velký</t>
  </si>
  <si>
    <t>datový rozvaděč</t>
  </si>
  <si>
    <t>DR4</t>
  </si>
  <si>
    <t>VZT velká</t>
  </si>
  <si>
    <t>Vakuová stanice</t>
  </si>
  <si>
    <t>stálá služba</t>
  </si>
  <si>
    <t>1 prac. 9 hod. /den</t>
  </si>
  <si>
    <t>cvičebna 1</t>
  </si>
  <si>
    <t>cvičebna 2</t>
  </si>
  <si>
    <t>primářka</t>
  </si>
  <si>
    <t>2xtýdně ÚT,ČT</t>
  </si>
  <si>
    <t xml:space="preserve">koupelna </t>
  </si>
  <si>
    <t>balkón</t>
  </si>
  <si>
    <t>1x za měsíc</t>
  </si>
  <si>
    <t>vyšetřovna 1</t>
  </si>
  <si>
    <t>pokoj 9</t>
  </si>
  <si>
    <t>pokoj 8</t>
  </si>
  <si>
    <t>cvičebna 3</t>
  </si>
  <si>
    <t>fyzioterapeut</t>
  </si>
  <si>
    <t>pokoj 10</t>
  </si>
  <si>
    <t>ženy - předsíňka</t>
  </si>
  <si>
    <t>D+T</t>
  </si>
  <si>
    <t>odpad</t>
  </si>
  <si>
    <t xml:space="preserve">vrchní sestra  </t>
  </si>
  <si>
    <t>1xtýdně Pá</t>
  </si>
  <si>
    <t>ultrazvuk</t>
  </si>
  <si>
    <t>logoped</t>
  </si>
  <si>
    <t>místnost</t>
  </si>
  <si>
    <t>soc. zařízení</t>
  </si>
  <si>
    <t>pokoj 7</t>
  </si>
  <si>
    <t>pokoj 6</t>
  </si>
  <si>
    <t>pokoj číslo 5</t>
  </si>
  <si>
    <t>pokoj číslo 4</t>
  </si>
  <si>
    <t>muži - předsíňka</t>
  </si>
  <si>
    <t>inspekční pokoj</t>
  </si>
  <si>
    <t>2xtýdně PO,PÁ</t>
  </si>
  <si>
    <t>sprchy</t>
  </si>
  <si>
    <t>3.NP</t>
  </si>
  <si>
    <t>vyšetřovna</t>
  </si>
  <si>
    <t>personál - předsíňka</t>
  </si>
  <si>
    <t>pisoár</t>
  </si>
  <si>
    <t>sester</t>
  </si>
  <si>
    <t>2.25</t>
  </si>
  <si>
    <t>2.26</t>
  </si>
  <si>
    <t>2.28</t>
  </si>
  <si>
    <t>2.29</t>
  </si>
  <si>
    <t>2.30</t>
  </si>
  <si>
    <t>2.31</t>
  </si>
  <si>
    <t>2.32</t>
  </si>
  <si>
    <t>2.33</t>
  </si>
  <si>
    <t>2.34</t>
  </si>
  <si>
    <t>2.35</t>
  </si>
  <si>
    <t>popisovna</t>
  </si>
  <si>
    <t>předsíňka personál</t>
  </si>
  <si>
    <t>Interna-Podkroví</t>
  </si>
  <si>
    <t>4.NP</t>
  </si>
  <si>
    <t>lékařský pokoj</t>
  </si>
  <si>
    <t>1x měs.první pondělí v měsíci</t>
  </si>
  <si>
    <t>+šatna pac.</t>
  </si>
  <si>
    <t>vrchní sestra</t>
  </si>
  <si>
    <t>1xtýdně ČT</t>
  </si>
  <si>
    <t xml:space="preserve">šatna </t>
  </si>
  <si>
    <t>sestry JIP</t>
  </si>
  <si>
    <t>2xtýdně</t>
  </si>
  <si>
    <t>sekretářka</t>
  </si>
  <si>
    <t xml:space="preserve">chodba </t>
  </si>
  <si>
    <t>sanitáři</t>
  </si>
  <si>
    <t>půda</t>
  </si>
  <si>
    <t>MONOBLOK</t>
  </si>
  <si>
    <r>
      <t>Sazba za m</t>
    </r>
    <r>
      <rPr>
        <b/>
        <vertAlign val="super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nebo za hodinu</t>
    </r>
  </si>
  <si>
    <t>Chirurgie, Interna - ambulance</t>
  </si>
  <si>
    <t>Služba na telefonu</t>
  </si>
  <si>
    <t>1 prac. 17:00 - 20:00</t>
  </si>
  <si>
    <t>1x(7xPo-Ne)</t>
  </si>
  <si>
    <t>Monoblok-Mrazák</t>
  </si>
  <si>
    <t>0.001</t>
  </si>
  <si>
    <t>chlazená předsíň</t>
  </si>
  <si>
    <t>N</t>
  </si>
  <si>
    <t>0.002</t>
  </si>
  <si>
    <t>0.003</t>
  </si>
  <si>
    <t>mrazící box</t>
  </si>
  <si>
    <t>0.089/1</t>
  </si>
  <si>
    <t>PC pro krevní banku</t>
  </si>
  <si>
    <t>Monoblok-Sklad MTZ</t>
  </si>
  <si>
    <t>0.004</t>
  </si>
  <si>
    <t>příjem</t>
  </si>
  <si>
    <t>0.005</t>
  </si>
  <si>
    <t>centrální</t>
  </si>
  <si>
    <t>0.006</t>
  </si>
  <si>
    <t>VZT</t>
  </si>
  <si>
    <t>0.007</t>
  </si>
  <si>
    <t>skladní</t>
  </si>
  <si>
    <t>0.008</t>
  </si>
  <si>
    <t>0.009</t>
  </si>
  <si>
    <t>0.010</t>
  </si>
  <si>
    <t>0.011</t>
  </si>
  <si>
    <t>Technické zázemí</t>
  </si>
  <si>
    <t>0.012</t>
  </si>
  <si>
    <t>úpravna vody</t>
  </si>
  <si>
    <t>1x(2x(Út, Pá)</t>
  </si>
  <si>
    <t>0.013</t>
  </si>
  <si>
    <t>ARO-šatny</t>
  </si>
  <si>
    <t>0.014</t>
  </si>
  <si>
    <t>0.015</t>
  </si>
  <si>
    <t>ARO</t>
  </si>
  <si>
    <t>0.016</t>
  </si>
  <si>
    <t>0.017</t>
  </si>
  <si>
    <t>0.018</t>
  </si>
  <si>
    <t>0.019</t>
  </si>
  <si>
    <t>stlačený vzduch</t>
  </si>
  <si>
    <t>0.020</t>
  </si>
  <si>
    <t>0.021</t>
  </si>
  <si>
    <t>0.022</t>
  </si>
  <si>
    <t>0.023</t>
  </si>
  <si>
    <t>0.024</t>
  </si>
  <si>
    <t>0.025</t>
  </si>
  <si>
    <t>0.026</t>
  </si>
  <si>
    <t>0.027</t>
  </si>
  <si>
    <t>el.rozvodna</t>
  </si>
  <si>
    <t>elektro údržba</t>
  </si>
  <si>
    <t>1x měsíčně</t>
  </si>
  <si>
    <t>0.028</t>
  </si>
  <si>
    <t>EZS, EPS</t>
  </si>
  <si>
    <t>Rehabilitace</t>
  </si>
  <si>
    <t>0.029</t>
  </si>
  <si>
    <t>vodní hosp.bazénu</t>
  </si>
  <si>
    <t>0.030</t>
  </si>
  <si>
    <t>vodoléčba</t>
  </si>
  <si>
    <t>bazén</t>
  </si>
  <si>
    <t>0.031</t>
  </si>
  <si>
    <t>0.032</t>
  </si>
  <si>
    <t>0.033</t>
  </si>
  <si>
    <t>0.034</t>
  </si>
  <si>
    <t>0.035</t>
  </si>
  <si>
    <t>0.036</t>
  </si>
  <si>
    <t>0.037</t>
  </si>
  <si>
    <t>cvičebna</t>
  </si>
  <si>
    <t>0.038</t>
  </si>
  <si>
    <t>0.039</t>
  </si>
  <si>
    <t>0.040</t>
  </si>
  <si>
    <t>Endoskopie</t>
  </si>
  <si>
    <t>0.041</t>
  </si>
  <si>
    <t>evidence</t>
  </si>
  <si>
    <t>0.042</t>
  </si>
  <si>
    <t>0.043</t>
  </si>
  <si>
    <t>0.044</t>
  </si>
  <si>
    <t>0.045</t>
  </si>
  <si>
    <t>0.046</t>
  </si>
  <si>
    <t>0.047</t>
  </si>
  <si>
    <t>0.048</t>
  </si>
  <si>
    <t>WC+umývárna</t>
  </si>
  <si>
    <t>0.049</t>
  </si>
  <si>
    <t>dospávací pokoj</t>
  </si>
  <si>
    <t>0.050</t>
  </si>
  <si>
    <t>lékaři,sestry</t>
  </si>
  <si>
    <t>0.051</t>
  </si>
  <si>
    <t>0.052</t>
  </si>
  <si>
    <t>0.053</t>
  </si>
  <si>
    <t>0.054</t>
  </si>
  <si>
    <t>0.055</t>
  </si>
  <si>
    <t>sprcha</t>
  </si>
  <si>
    <t>0.056</t>
  </si>
  <si>
    <t>0.057</t>
  </si>
  <si>
    <t>0.058</t>
  </si>
  <si>
    <t>0.059</t>
  </si>
  <si>
    <t>0.060</t>
  </si>
  <si>
    <t>0.061</t>
  </si>
  <si>
    <t>0.062</t>
  </si>
  <si>
    <t>0.063</t>
  </si>
  <si>
    <t>0.064</t>
  </si>
  <si>
    <t>0.065</t>
  </si>
  <si>
    <t>0.066</t>
  </si>
  <si>
    <t>0.067</t>
  </si>
  <si>
    <t>zaměstnanci</t>
  </si>
  <si>
    <t>0.068</t>
  </si>
  <si>
    <t>0.069</t>
  </si>
  <si>
    <t>0.070</t>
  </si>
  <si>
    <t>0.071</t>
  </si>
  <si>
    <t>0.072</t>
  </si>
  <si>
    <t>0.073</t>
  </si>
  <si>
    <t>elektroléčba, parafín</t>
  </si>
  <si>
    <t>0.074</t>
  </si>
  <si>
    <t>diathermie, laser</t>
  </si>
  <si>
    <t>0.075</t>
  </si>
  <si>
    <t>vakuová stanice</t>
  </si>
  <si>
    <t>0.076</t>
  </si>
  <si>
    <t>elektro - slaboproud</t>
  </si>
  <si>
    <t>DR1</t>
  </si>
  <si>
    <t>Výtahy Monoblok</t>
  </si>
  <si>
    <t>0.077</t>
  </si>
  <si>
    <t>výtah 1</t>
  </si>
  <si>
    <t>0.078</t>
  </si>
  <si>
    <t>výtah 2</t>
  </si>
  <si>
    <t>Společné</t>
  </si>
  <si>
    <t>0.079</t>
  </si>
  <si>
    <t>rampa</t>
  </si>
  <si>
    <t>k Pediatrii</t>
  </si>
  <si>
    <t>strojně</t>
  </si>
  <si>
    <t>0.080</t>
  </si>
  <si>
    <t>u CS</t>
  </si>
  <si>
    <t>ručně/strojně</t>
  </si>
  <si>
    <t>0.080/1</t>
  </si>
  <si>
    <t>0.081</t>
  </si>
  <si>
    <t>Rezerva-šatna</t>
  </si>
  <si>
    <t>0.082</t>
  </si>
  <si>
    <t>rezerva</t>
  </si>
  <si>
    <t>3xtýdně</t>
  </si>
  <si>
    <t>0.083</t>
  </si>
  <si>
    <t>0.084</t>
  </si>
  <si>
    <t>0.085</t>
  </si>
  <si>
    <t>angl.dvorek</t>
  </si>
  <si>
    <t>0.086</t>
  </si>
  <si>
    <t>0.087</t>
  </si>
  <si>
    <t>0.088</t>
  </si>
  <si>
    <t>98,57</t>
  </si>
  <si>
    <t>0.089</t>
  </si>
  <si>
    <t>u skladu</t>
  </si>
  <si>
    <t>38,24</t>
  </si>
  <si>
    <t>0.090</t>
  </si>
  <si>
    <t>0.091</t>
  </si>
  <si>
    <t>0.092</t>
  </si>
  <si>
    <t>0.093</t>
  </si>
  <si>
    <t>k RTG</t>
  </si>
  <si>
    <t>0.094</t>
  </si>
  <si>
    <t>elektro-slaboproud</t>
  </si>
  <si>
    <t>DR2</t>
  </si>
  <si>
    <t>0.101</t>
  </si>
  <si>
    <t>Sterilizace</t>
  </si>
  <si>
    <t>gruntování 5:00 - 13:30</t>
  </si>
  <si>
    <t>2 prac. / 8 hod./den</t>
  </si>
  <si>
    <t>1xměsíčně (So)</t>
  </si>
  <si>
    <t>0.095</t>
  </si>
  <si>
    <t>3x(5xPo-Pá)</t>
  </si>
  <si>
    <t>0.096</t>
  </si>
  <si>
    <t>balení prádla</t>
  </si>
  <si>
    <t>0.097</t>
  </si>
  <si>
    <t>čisté mytí</t>
  </si>
  <si>
    <t>0.098</t>
  </si>
  <si>
    <t>mytí rukavic</t>
  </si>
  <si>
    <t>0.099</t>
  </si>
  <si>
    <t>0.100</t>
  </si>
  <si>
    <t>přípr.a balení nástrojů</t>
  </si>
  <si>
    <t>0.102</t>
  </si>
  <si>
    <t>kompletace</t>
  </si>
  <si>
    <t>0.103</t>
  </si>
  <si>
    <t>sterilní sklad</t>
  </si>
  <si>
    <t>0.104</t>
  </si>
  <si>
    <t>sterilního materiálu</t>
  </si>
  <si>
    <t>0.105</t>
  </si>
  <si>
    <t>0.106</t>
  </si>
  <si>
    <t>výdej</t>
  </si>
  <si>
    <t>0.107</t>
  </si>
  <si>
    <t>0.108</t>
  </si>
  <si>
    <t>0.109</t>
  </si>
  <si>
    <t>0.110</t>
  </si>
  <si>
    <t>0.111</t>
  </si>
  <si>
    <t>venkovní energoblok</t>
  </si>
  <si>
    <t>0.115</t>
  </si>
  <si>
    <t>chlazení</t>
  </si>
  <si>
    <t>0.116</t>
  </si>
  <si>
    <t>RTG Pavilon - šatny</t>
  </si>
  <si>
    <t>0.117</t>
  </si>
  <si>
    <t>2xtýdně PO-ČT</t>
  </si>
  <si>
    <t>0.118</t>
  </si>
  <si>
    <t>0.119</t>
  </si>
  <si>
    <t>0.120</t>
  </si>
  <si>
    <t>0.121</t>
  </si>
  <si>
    <t>0.122</t>
  </si>
  <si>
    <t>0.123</t>
  </si>
  <si>
    <t>0.124</t>
  </si>
  <si>
    <t>0.125</t>
  </si>
  <si>
    <t>0.126</t>
  </si>
  <si>
    <t>0.127</t>
  </si>
  <si>
    <t>0.128</t>
  </si>
  <si>
    <t>0.129</t>
  </si>
  <si>
    <t>0.130</t>
  </si>
  <si>
    <t>0.131</t>
  </si>
  <si>
    <t>0.132</t>
  </si>
  <si>
    <t>0.133</t>
  </si>
  <si>
    <t>0.134</t>
  </si>
  <si>
    <t>RTG</t>
  </si>
  <si>
    <t>0.135</t>
  </si>
  <si>
    <t>kotelna</t>
  </si>
  <si>
    <t>0.136</t>
  </si>
  <si>
    <t>elektro</t>
  </si>
  <si>
    <t>rozvodna RTG</t>
  </si>
  <si>
    <t>Ortopedie - lůžka</t>
  </si>
  <si>
    <t>1.001</t>
  </si>
  <si>
    <t>1.002</t>
  </si>
  <si>
    <t>1.003</t>
  </si>
  <si>
    <t>1.004</t>
  </si>
  <si>
    <t>1.005</t>
  </si>
  <si>
    <t>1.006</t>
  </si>
  <si>
    <t>invalidní</t>
  </si>
  <si>
    <t>1.007</t>
  </si>
  <si>
    <t>1.008</t>
  </si>
  <si>
    <t>1.009</t>
  </si>
  <si>
    <t>1.010</t>
  </si>
  <si>
    <t>4lůžkový</t>
  </si>
  <si>
    <t>1.011</t>
  </si>
  <si>
    <t>1.012</t>
  </si>
  <si>
    <t>1.013</t>
  </si>
  <si>
    <t>1.014</t>
  </si>
  <si>
    <t>1.015</t>
  </si>
  <si>
    <t>1.016</t>
  </si>
  <si>
    <t>1.017</t>
  </si>
  <si>
    <t>převazovna</t>
  </si>
  <si>
    <t>1.018</t>
  </si>
  <si>
    <t>1.019</t>
  </si>
  <si>
    <t>1.020</t>
  </si>
  <si>
    <t>1.021</t>
  </si>
  <si>
    <t>1.022</t>
  </si>
  <si>
    <t>1.023</t>
  </si>
  <si>
    <t>1.024</t>
  </si>
  <si>
    <t>1.025</t>
  </si>
  <si>
    <t>1.026</t>
  </si>
  <si>
    <t>1.027</t>
  </si>
  <si>
    <t>1.028</t>
  </si>
  <si>
    <t>1.029</t>
  </si>
  <si>
    <t>čistící místnost</t>
  </si>
  <si>
    <t>1.030</t>
  </si>
  <si>
    <t>1.031</t>
  </si>
  <si>
    <t>1.032</t>
  </si>
  <si>
    <t>1.033</t>
  </si>
  <si>
    <t>1.034</t>
  </si>
  <si>
    <t>Ortopedie - ambulance</t>
  </si>
  <si>
    <t>1.035</t>
  </si>
  <si>
    <t>1.036</t>
  </si>
  <si>
    <t>1.037</t>
  </si>
  <si>
    <t>1.038a</t>
  </si>
  <si>
    <t>1.038b</t>
  </si>
  <si>
    <t>1.039a</t>
  </si>
  <si>
    <t>1.039b</t>
  </si>
  <si>
    <t>1.040</t>
  </si>
  <si>
    <t>1.041</t>
  </si>
  <si>
    <t>1.042</t>
  </si>
  <si>
    <t>1.043</t>
  </si>
  <si>
    <t>1.044</t>
  </si>
  <si>
    <t>1.045</t>
  </si>
  <si>
    <t>1.046</t>
  </si>
  <si>
    <t>1.047</t>
  </si>
  <si>
    <t>1.048</t>
  </si>
  <si>
    <t>kabinka(-y)</t>
  </si>
  <si>
    <t>1.049</t>
  </si>
  <si>
    <t>Gynekologie - ambulance</t>
  </si>
  <si>
    <t>1.050</t>
  </si>
  <si>
    <t>5xPo-Pá + 1x(3xÚt,St,Pá)</t>
  </si>
  <si>
    <t>1.051</t>
  </si>
  <si>
    <t>1.052</t>
  </si>
  <si>
    <t>1.053</t>
  </si>
  <si>
    <t>1.054</t>
  </si>
  <si>
    <t>1.055</t>
  </si>
  <si>
    <t>Gyn amb / RTG / uro</t>
  </si>
  <si>
    <t>1.056</t>
  </si>
  <si>
    <t>5xPo-Pá + 1xÚT</t>
  </si>
  <si>
    <t>1.057</t>
  </si>
  <si>
    <t>vedoucí lékař</t>
  </si>
  <si>
    <t>1.058</t>
  </si>
  <si>
    <t>1.059</t>
  </si>
  <si>
    <t>laboranti</t>
  </si>
  <si>
    <t>1.060</t>
  </si>
  <si>
    <t>1.061</t>
  </si>
  <si>
    <t>RTG evidence</t>
  </si>
  <si>
    <t>1.062</t>
  </si>
  <si>
    <t>1.063</t>
  </si>
  <si>
    <t>1.064</t>
  </si>
  <si>
    <t>1.065</t>
  </si>
  <si>
    <t>1.066</t>
  </si>
  <si>
    <t>1.067</t>
  </si>
  <si>
    <t>1.068</t>
  </si>
  <si>
    <t>1.069</t>
  </si>
  <si>
    <t>1.070</t>
  </si>
  <si>
    <t>1.071</t>
  </si>
  <si>
    <t>1.072</t>
  </si>
  <si>
    <t>1.073</t>
  </si>
  <si>
    <t>1.074</t>
  </si>
  <si>
    <t>1.075</t>
  </si>
  <si>
    <t>1.076</t>
  </si>
  <si>
    <t>1.077</t>
  </si>
  <si>
    <t>1.078</t>
  </si>
  <si>
    <t>1.079</t>
  </si>
  <si>
    <t>mezi výtahy</t>
  </si>
  <si>
    <t>2x(5xPo-Pá),1xSo a Ne</t>
  </si>
  <si>
    <t>1.080</t>
  </si>
  <si>
    <t>1.081</t>
  </si>
  <si>
    <t>A za kafinou</t>
  </si>
  <si>
    <t>1.082</t>
  </si>
  <si>
    <t>1.083</t>
  </si>
  <si>
    <t>dezinfekce</t>
  </si>
  <si>
    <t>1x5xPo-Pá</t>
  </si>
  <si>
    <t>1.084</t>
  </si>
  <si>
    <t>2x(7x Po-Ne)</t>
  </si>
  <si>
    <t>1.085</t>
  </si>
  <si>
    <t>1.086</t>
  </si>
  <si>
    <t>JIP</t>
  </si>
  <si>
    <t>infekční box</t>
  </si>
  <si>
    <t>3x(7x Po-Ne)</t>
  </si>
  <si>
    <t>1.087</t>
  </si>
  <si>
    <t>lůžkový sál, sestry</t>
  </si>
  <si>
    <t>1.088</t>
  </si>
  <si>
    <t>1.089</t>
  </si>
  <si>
    <t>1.090</t>
  </si>
  <si>
    <t>1.091</t>
  </si>
  <si>
    <t>1.092</t>
  </si>
  <si>
    <t>1.093</t>
  </si>
  <si>
    <t>1.094</t>
  </si>
  <si>
    <t>přístrojů</t>
  </si>
  <si>
    <t>1.095</t>
  </si>
  <si>
    <t>zákrokový sál</t>
  </si>
  <si>
    <t>1.096</t>
  </si>
  <si>
    <t>1.097</t>
  </si>
  <si>
    <t>příjem pacientů</t>
  </si>
  <si>
    <t>1.098</t>
  </si>
  <si>
    <t>1.099</t>
  </si>
  <si>
    <t>řidičů RZP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</si>
  <si>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</si>
  <si>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</si>
  <si>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</si>
  <si>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</si>
  <si>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</si>
  <si>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</si>
  <si>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</si>
  <si>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</si>
  <si>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Stálá služba    5,30 - 17,00 hod</t>
  </si>
  <si>
    <t>1 prac. / 11hod. / den</t>
  </si>
  <si>
    <t>1.108</t>
  </si>
  <si>
    <t>vchod A</t>
  </si>
  <si>
    <t>Kafeterie</t>
  </si>
  <si>
    <t>1.109</t>
  </si>
  <si>
    <t>1.110</t>
  </si>
  <si>
    <t>1.111</t>
  </si>
  <si>
    <t>1.112</t>
  </si>
  <si>
    <t>1.113</t>
  </si>
  <si>
    <t>kafeterie</t>
  </si>
  <si>
    <t>Venkovní</t>
  </si>
  <si>
    <t>1.114</t>
  </si>
  <si>
    <t>terasa</t>
  </si>
  <si>
    <t>venkovní kaf</t>
  </si>
  <si>
    <t>1.115</t>
  </si>
  <si>
    <t>1.116</t>
  </si>
  <si>
    <t>1.117</t>
  </si>
  <si>
    <t>1.118a</t>
  </si>
  <si>
    <t>1.118b</t>
  </si>
  <si>
    <t>1.119</t>
  </si>
  <si>
    <t>1.120</t>
  </si>
  <si>
    <t>1.121</t>
  </si>
  <si>
    <t>1.122</t>
  </si>
  <si>
    <t>1.123</t>
  </si>
  <si>
    <t>B za kafinou</t>
  </si>
  <si>
    <t>1.124</t>
  </si>
  <si>
    <t>energoblok</t>
  </si>
  <si>
    <t>1.125</t>
  </si>
  <si>
    <t>1.126</t>
  </si>
  <si>
    <t>vchod B</t>
  </si>
  <si>
    <t>Chirurgie - ambulance</t>
  </si>
  <si>
    <t>1.127</t>
  </si>
  <si>
    <t>1.128</t>
  </si>
  <si>
    <t>2x(7xPo-Ne)**</t>
  </si>
  <si>
    <t>1.129</t>
  </si>
  <si>
    <t>1.130</t>
  </si>
  <si>
    <t>ženy bezberier.</t>
  </si>
  <si>
    <t>1.131</t>
  </si>
  <si>
    <t>1.132</t>
  </si>
  <si>
    <t>7xPo-Ne**</t>
  </si>
  <si>
    <t>1.133a</t>
  </si>
  <si>
    <t>1.133b</t>
  </si>
  <si>
    <t>1.134</t>
  </si>
  <si>
    <t>1.135</t>
  </si>
  <si>
    <t>1.136</t>
  </si>
  <si>
    <t>1.137</t>
  </si>
  <si>
    <t>1.138</t>
  </si>
  <si>
    <t>sanitář</t>
  </si>
  <si>
    <t>1.139</t>
  </si>
  <si>
    <t>1.140</t>
  </si>
  <si>
    <t>Zákrokový sálek</t>
  </si>
  <si>
    <t>I - chirurgie</t>
  </si>
  <si>
    <t>1.141</t>
  </si>
  <si>
    <t>traumatologie</t>
  </si>
  <si>
    <t>1.142</t>
  </si>
  <si>
    <t>1.143</t>
  </si>
  <si>
    <t>1.144</t>
  </si>
  <si>
    <t>sádrovna</t>
  </si>
  <si>
    <t>1.145</t>
  </si>
  <si>
    <t>II - chirurgie</t>
  </si>
  <si>
    <t>1.146</t>
  </si>
  <si>
    <t>1.147</t>
  </si>
  <si>
    <t>1.148</t>
  </si>
  <si>
    <t>Cevní poradna</t>
  </si>
  <si>
    <t>5x(Po-Pá)</t>
  </si>
  <si>
    <t>1.149</t>
  </si>
  <si>
    <t>1.150</t>
  </si>
  <si>
    <t>1.151</t>
  </si>
  <si>
    <t>1.152</t>
  </si>
  <si>
    <t>1.153</t>
  </si>
  <si>
    <t>1.154</t>
  </si>
  <si>
    <t>1.155</t>
  </si>
  <si>
    <t>Výtah 2</t>
  </si>
  <si>
    <t>1.156</t>
  </si>
  <si>
    <t>Výtah 1</t>
  </si>
  <si>
    <t>1.157</t>
  </si>
  <si>
    <t>1.158</t>
  </si>
  <si>
    <t>1.159/1</t>
  </si>
  <si>
    <t>Výtah</t>
  </si>
  <si>
    <t>sterilní</t>
  </si>
  <si>
    <t>RTG pavilon</t>
  </si>
  <si>
    <t>1.158/1</t>
  </si>
  <si>
    <t>s hernou</t>
  </si>
  <si>
    <t>1.159</t>
  </si>
  <si>
    <t>(5xPo-Pá)</t>
  </si>
  <si>
    <t>1.160</t>
  </si>
  <si>
    <t>ovladovna</t>
  </si>
  <si>
    <t>1.161</t>
  </si>
  <si>
    <t>angiografie, skiaskopie</t>
  </si>
  <si>
    <t>1.162</t>
  </si>
  <si>
    <t>1.163</t>
  </si>
  <si>
    <t>1.164</t>
  </si>
  <si>
    <t>hygienická buňka</t>
  </si>
  <si>
    <t>1.165</t>
  </si>
  <si>
    <t>příprava pac. a materiálu</t>
  </si>
  <si>
    <t>1.166</t>
  </si>
  <si>
    <t>1.167</t>
  </si>
  <si>
    <t>1.168</t>
  </si>
  <si>
    <t>1.169</t>
  </si>
  <si>
    <t>temná komora</t>
  </si>
  <si>
    <t>1.170</t>
  </si>
  <si>
    <t>skiagraf</t>
  </si>
  <si>
    <t>1.171</t>
  </si>
  <si>
    <t>kabinka</t>
  </si>
  <si>
    <t>1.172</t>
  </si>
  <si>
    <t>1.173</t>
  </si>
  <si>
    <t>1.174</t>
  </si>
  <si>
    <t>digitalizace</t>
  </si>
  <si>
    <t>1.175</t>
  </si>
  <si>
    <t>1.176</t>
  </si>
  <si>
    <t xml:space="preserve">čekárna </t>
  </si>
  <si>
    <t>ke skia</t>
  </si>
  <si>
    <t>1.177</t>
  </si>
  <si>
    <t>imobilní</t>
  </si>
  <si>
    <t>1.178</t>
  </si>
  <si>
    <t>1.179</t>
  </si>
  <si>
    <t>1.180</t>
  </si>
  <si>
    <t>1.181</t>
  </si>
  <si>
    <t>1.182</t>
  </si>
  <si>
    <t>1.183</t>
  </si>
  <si>
    <t>CT</t>
  </si>
  <si>
    <t>1.184</t>
  </si>
  <si>
    <t>1.185</t>
  </si>
  <si>
    <t>k CT</t>
  </si>
  <si>
    <t>1.186</t>
  </si>
  <si>
    <t>1.187</t>
  </si>
  <si>
    <t>1.188</t>
  </si>
  <si>
    <t>1.189</t>
  </si>
  <si>
    <t>Schodiště</t>
  </si>
  <si>
    <t>venkovní RTG</t>
  </si>
  <si>
    <t>Chirurgie aseptická</t>
  </si>
  <si>
    <t>2.001</t>
  </si>
  <si>
    <t>2.002a</t>
  </si>
  <si>
    <t>2.002b</t>
  </si>
  <si>
    <t>2.003</t>
  </si>
  <si>
    <t>2.004</t>
  </si>
  <si>
    <t>2.005</t>
  </si>
  <si>
    <t>2.006</t>
  </si>
  <si>
    <t>2.007</t>
  </si>
  <si>
    <t>2.008</t>
  </si>
  <si>
    <t>2.009</t>
  </si>
  <si>
    <t>2.010</t>
  </si>
  <si>
    <t>2.011</t>
  </si>
  <si>
    <t>zákroky</t>
  </si>
  <si>
    <t>2.012</t>
  </si>
  <si>
    <t>2.013</t>
  </si>
  <si>
    <t>2.014</t>
  </si>
  <si>
    <t>2.015</t>
  </si>
  <si>
    <t>2.016</t>
  </si>
  <si>
    <t>2.017</t>
  </si>
  <si>
    <t>2.018</t>
  </si>
  <si>
    <t>2.018b</t>
  </si>
  <si>
    <t>2.019</t>
  </si>
  <si>
    <t>2.020</t>
  </si>
  <si>
    <t>2.021</t>
  </si>
  <si>
    <t>2.022</t>
  </si>
  <si>
    <t>2.023</t>
  </si>
  <si>
    <t>2.024</t>
  </si>
  <si>
    <t>2.025</t>
  </si>
  <si>
    <t>2.026</t>
  </si>
  <si>
    <t>2.027</t>
  </si>
  <si>
    <t>2.028</t>
  </si>
  <si>
    <t>invalidé</t>
  </si>
  <si>
    <t>2.029</t>
  </si>
  <si>
    <t>2.030</t>
  </si>
  <si>
    <t>Chirurgie septická</t>
  </si>
  <si>
    <t>2.031</t>
  </si>
  <si>
    <t>2.032</t>
  </si>
  <si>
    <t>2.033</t>
  </si>
  <si>
    <t>2.034</t>
  </si>
  <si>
    <t>2.035</t>
  </si>
  <si>
    <t>2.036</t>
  </si>
  <si>
    <t>2.037</t>
  </si>
  <si>
    <t>2.038</t>
  </si>
  <si>
    <t>2.039</t>
  </si>
  <si>
    <t>2.040</t>
  </si>
  <si>
    <t>2.041</t>
  </si>
  <si>
    <t>2.042</t>
  </si>
  <si>
    <t>2.043</t>
  </si>
  <si>
    <t>2.044</t>
  </si>
  <si>
    <t>2.045</t>
  </si>
  <si>
    <t>2.046</t>
  </si>
  <si>
    <t>2.047</t>
  </si>
  <si>
    <t>2.048</t>
  </si>
  <si>
    <t>2.049</t>
  </si>
  <si>
    <t>2.050</t>
  </si>
  <si>
    <t>2.051</t>
  </si>
  <si>
    <t>2.052</t>
  </si>
  <si>
    <t>2.053</t>
  </si>
  <si>
    <t>2.054</t>
  </si>
  <si>
    <t>2.055</t>
  </si>
  <si>
    <t>2.056</t>
  </si>
  <si>
    <t>2.057</t>
  </si>
  <si>
    <t>2.058</t>
  </si>
  <si>
    <t>2.059</t>
  </si>
  <si>
    <t>2.060</t>
  </si>
  <si>
    <t>Výtahy</t>
  </si>
  <si>
    <t>2.061</t>
  </si>
  <si>
    <t>2.062</t>
  </si>
  <si>
    <t>2.063</t>
  </si>
  <si>
    <t>před OS</t>
  </si>
  <si>
    <t xml:space="preserve">strojně </t>
  </si>
  <si>
    <t>2.063a</t>
  </si>
  <si>
    <t>zádveří A</t>
  </si>
  <si>
    <t>2.064</t>
  </si>
  <si>
    <t>podesta A</t>
  </si>
  <si>
    <t>Operační sály</t>
  </si>
  <si>
    <t>Stálá služba</t>
  </si>
  <si>
    <t>2 prac. 5:30 - 13:30 + 1 prac. 13:30 - 22:00</t>
  </si>
  <si>
    <t>1 prac. 13:30 - 19:00</t>
  </si>
  <si>
    <t>1 prac. 9:00 - 21:00</t>
  </si>
  <si>
    <t>2xSo,4xNe(za jeden měsíc)</t>
  </si>
  <si>
    <t>1 prac. 13:30 - 21:00</t>
  </si>
  <si>
    <t>2xSo, po 14 dnech (po gruntování)</t>
  </si>
  <si>
    <t>Gruntování</t>
  </si>
  <si>
    <t>4 prac. / 7:00-13:30</t>
  </si>
  <si>
    <t>2x So, po 14 dnech</t>
  </si>
  <si>
    <t>2.065</t>
  </si>
  <si>
    <t>Zajišťuje stálá služba</t>
  </si>
  <si>
    <t>2.066</t>
  </si>
  <si>
    <t>2.067</t>
  </si>
  <si>
    <t>2.068</t>
  </si>
  <si>
    <t>2.069</t>
  </si>
  <si>
    <t>příprava, probuzení</t>
  </si>
  <si>
    <t>2.070</t>
  </si>
  <si>
    <t>2.071</t>
  </si>
  <si>
    <t>2.072</t>
  </si>
  <si>
    <t>2.073</t>
  </si>
  <si>
    <t>2.074</t>
  </si>
  <si>
    <t>operační sál</t>
  </si>
  <si>
    <t>2.075</t>
  </si>
  <si>
    <t>2.076</t>
  </si>
  <si>
    <t>2.077</t>
  </si>
  <si>
    <t>2.078</t>
  </si>
  <si>
    <t>2.079</t>
  </si>
  <si>
    <t>protokoly</t>
  </si>
  <si>
    <t>2.080</t>
  </si>
  <si>
    <t>2.081</t>
  </si>
  <si>
    <t>2.082</t>
  </si>
  <si>
    <t>2.083</t>
  </si>
  <si>
    <t>SKLAD</t>
  </si>
  <si>
    <t>NÁSTROJE</t>
  </si>
  <si>
    <t>PERSONÁL</t>
  </si>
  <si>
    <t>PŘÍPRAVA PACIENTA</t>
  </si>
  <si>
    <t>LÉKAŘI</t>
  </si>
  <si>
    <t>denní míst</t>
  </si>
  <si>
    <t>OPERAČNÍ SÁL</t>
  </si>
  <si>
    <t>CHDOBA</t>
  </si>
  <si>
    <t>DOSPÁVCÍ POKOJ</t>
  </si>
  <si>
    <t>210A</t>
  </si>
  <si>
    <t>2.084</t>
  </si>
  <si>
    <t>VZT energoblok</t>
  </si>
  <si>
    <t>2.085</t>
  </si>
  <si>
    <t>2.086</t>
  </si>
  <si>
    <t>spojovací</t>
  </si>
  <si>
    <t>2.089</t>
  </si>
  <si>
    <t>podesta B</t>
  </si>
  <si>
    <t>2.090</t>
  </si>
  <si>
    <t>zádveří B</t>
  </si>
  <si>
    <t>2.091</t>
  </si>
  <si>
    <t>2.092</t>
  </si>
  <si>
    <t>JIP - Chirurgie</t>
  </si>
  <si>
    <t>2.093</t>
  </si>
  <si>
    <t>sanitace použité prádlo</t>
  </si>
  <si>
    <t>2.094</t>
  </si>
  <si>
    <t>2.095</t>
  </si>
  <si>
    <t>2.096</t>
  </si>
  <si>
    <t>2.097</t>
  </si>
  <si>
    <t>2.098</t>
  </si>
  <si>
    <t>2.099</t>
  </si>
  <si>
    <t>materiálu</t>
  </si>
  <si>
    <t>2.100</t>
  </si>
  <si>
    <t>lékařů</t>
  </si>
  <si>
    <t>2.101</t>
  </si>
  <si>
    <t>1L</t>
  </si>
  <si>
    <t>2.102</t>
  </si>
  <si>
    <t>2L</t>
  </si>
  <si>
    <t>2.103</t>
  </si>
  <si>
    <t>2.104</t>
  </si>
  <si>
    <t>2.105</t>
  </si>
  <si>
    <t>2.106</t>
  </si>
  <si>
    <t>2.107</t>
  </si>
  <si>
    <t>2.108</t>
  </si>
  <si>
    <t>ved.lékař</t>
  </si>
  <si>
    <t>2.109</t>
  </si>
  <si>
    <t>skl.léků a č.prádla</t>
  </si>
  <si>
    <t>2.110</t>
  </si>
  <si>
    <t>2.111</t>
  </si>
  <si>
    <t>2.112</t>
  </si>
  <si>
    <t>hygienická propust</t>
  </si>
  <si>
    <t>2.113</t>
  </si>
  <si>
    <t>1x(3x Po,St,Pá)</t>
  </si>
  <si>
    <t>2.114</t>
  </si>
  <si>
    <t>ZM</t>
  </si>
  <si>
    <t>2.115</t>
  </si>
  <si>
    <t>2.116</t>
  </si>
  <si>
    <t>1 prac / 8 hod. /den</t>
  </si>
  <si>
    <t>3. stěr</t>
  </si>
  <si>
    <t>1 prac. / 0,5 hod / den</t>
  </si>
  <si>
    <t>1 prac. / 3,5 hod. / den</t>
  </si>
  <si>
    <t>2x (SO,NE)</t>
  </si>
  <si>
    <t>2.117</t>
  </si>
  <si>
    <t>nákladní výtah</t>
  </si>
  <si>
    <t>3.001</t>
  </si>
  <si>
    <t>společné</t>
  </si>
  <si>
    <t>3.002</t>
  </si>
  <si>
    <t>B - osobní</t>
  </si>
  <si>
    <t>3.003</t>
  </si>
  <si>
    <t>Oční - lůžka</t>
  </si>
  <si>
    <t>3.003a</t>
  </si>
  <si>
    <t>Oční - komplement</t>
  </si>
  <si>
    <t>3.004</t>
  </si>
  <si>
    <t>amb</t>
  </si>
  <si>
    <t>3.005</t>
  </si>
  <si>
    <t>ordinace</t>
  </si>
  <si>
    <t>perimetrické pracoviště</t>
  </si>
  <si>
    <t>3.006</t>
  </si>
  <si>
    <t>3.007</t>
  </si>
  <si>
    <t>glaukomická</t>
  </si>
  <si>
    <t>3.008</t>
  </si>
  <si>
    <t>přístroj.prac. + administr.</t>
  </si>
  <si>
    <t>3.009</t>
  </si>
  <si>
    <t>laser</t>
  </si>
  <si>
    <t>3.010</t>
  </si>
  <si>
    <t>diabetologická</t>
  </si>
  <si>
    <t>3.011</t>
  </si>
  <si>
    <t>3.012</t>
  </si>
  <si>
    <t>funduskamera</t>
  </si>
  <si>
    <t>3.013</t>
  </si>
  <si>
    <t>3.014</t>
  </si>
  <si>
    <t>3.015</t>
  </si>
  <si>
    <t>3.016</t>
  </si>
  <si>
    <t>3.017</t>
  </si>
  <si>
    <t>3.018</t>
  </si>
  <si>
    <t>a předsíň pacienti</t>
  </si>
  <si>
    <t>3.019</t>
  </si>
  <si>
    <t>bezbariérové</t>
  </si>
  <si>
    <t>3.020</t>
  </si>
  <si>
    <t>stacionář muži</t>
  </si>
  <si>
    <t>3.021</t>
  </si>
  <si>
    <t>3.022</t>
  </si>
  <si>
    <t>svlékací box</t>
  </si>
  <si>
    <t>3.023</t>
  </si>
  <si>
    <t>3.024</t>
  </si>
  <si>
    <t>stacionář ženy</t>
  </si>
  <si>
    <t>3.025</t>
  </si>
  <si>
    <t>3.026</t>
  </si>
  <si>
    <t>Gynekologie</t>
  </si>
  <si>
    <t>3.027</t>
  </si>
  <si>
    <t>3.028</t>
  </si>
  <si>
    <t>3.029</t>
  </si>
  <si>
    <t>3.030</t>
  </si>
  <si>
    <t>3.031</t>
  </si>
  <si>
    <t>3.032</t>
  </si>
  <si>
    <t>Gynekologie /rahabka</t>
  </si>
  <si>
    <t>3.033</t>
  </si>
  <si>
    <t>3.034</t>
  </si>
  <si>
    <t>Pokoj + sprcha</t>
  </si>
  <si>
    <t>3.035</t>
  </si>
  <si>
    <t>3.036</t>
  </si>
  <si>
    <t>ergoterapie</t>
  </si>
  <si>
    <t>3.037</t>
  </si>
  <si>
    <t>3.038</t>
  </si>
  <si>
    <t>3.039</t>
  </si>
  <si>
    <t>Pokoj</t>
  </si>
  <si>
    <t>4L</t>
  </si>
  <si>
    <t>3.040</t>
  </si>
  <si>
    <t>3.041</t>
  </si>
  <si>
    <t>3.042</t>
  </si>
  <si>
    <t>3.043</t>
  </si>
  <si>
    <t>mechanoterapie</t>
  </si>
  <si>
    <t>3.044</t>
  </si>
  <si>
    <t>3.045</t>
  </si>
  <si>
    <t>3.046</t>
  </si>
  <si>
    <t>3.047</t>
  </si>
  <si>
    <t>3.048</t>
  </si>
  <si>
    <t>3.049</t>
  </si>
  <si>
    <t>3.050</t>
  </si>
  <si>
    <t>3.051</t>
  </si>
  <si>
    <t>3.052</t>
  </si>
  <si>
    <t>3.053</t>
  </si>
  <si>
    <t>3.054</t>
  </si>
  <si>
    <t>3.055</t>
  </si>
  <si>
    <t>3.056</t>
  </si>
  <si>
    <t>3.057</t>
  </si>
  <si>
    <t>3.058</t>
  </si>
  <si>
    <t>3.059</t>
  </si>
  <si>
    <t>3.060</t>
  </si>
  <si>
    <t>3.061</t>
  </si>
  <si>
    <t>3.062</t>
  </si>
  <si>
    <t>3.063</t>
  </si>
  <si>
    <t>3.064</t>
  </si>
  <si>
    <t>3.065</t>
  </si>
  <si>
    <t>3.066</t>
  </si>
  <si>
    <t>3.067</t>
  </si>
  <si>
    <t>3.068</t>
  </si>
  <si>
    <t>3.069</t>
  </si>
  <si>
    <t>3.070</t>
  </si>
  <si>
    <t>pomůcky</t>
  </si>
  <si>
    <t>3.071</t>
  </si>
  <si>
    <t>3.072</t>
  </si>
  <si>
    <t>3.073</t>
  </si>
  <si>
    <t>Novorozenci</t>
  </si>
  <si>
    <t>3.073a</t>
  </si>
  <si>
    <t>3.074</t>
  </si>
  <si>
    <t>A</t>
  </si>
  <si>
    <t>3.075</t>
  </si>
  <si>
    <t>3.076</t>
  </si>
  <si>
    <t>3.077a</t>
  </si>
  <si>
    <t>3.077b</t>
  </si>
  <si>
    <t>3.078</t>
  </si>
  <si>
    <t>3.079</t>
  </si>
  <si>
    <t>3.080</t>
  </si>
  <si>
    <t>3.081</t>
  </si>
  <si>
    <t xml:space="preserve">vyšetřovna </t>
  </si>
  <si>
    <t>3.082</t>
  </si>
  <si>
    <t>3.083</t>
  </si>
  <si>
    <t>S</t>
  </si>
  <si>
    <t>3.084</t>
  </si>
  <si>
    <t>gynekologie</t>
  </si>
  <si>
    <t>3x(5xPo-Pá) + 2x(2xSo,Ne)</t>
  </si>
  <si>
    <t>3.085</t>
  </si>
  <si>
    <t>3.086</t>
  </si>
  <si>
    <t>3.087</t>
  </si>
  <si>
    <t>3.088</t>
  </si>
  <si>
    <t>3.089</t>
  </si>
  <si>
    <t>3.090</t>
  </si>
  <si>
    <t>Gynekologie/ARO</t>
  </si>
  <si>
    <t>3.091</t>
  </si>
  <si>
    <t>pooperační péče</t>
  </si>
  <si>
    <t>3.092</t>
  </si>
  <si>
    <t>3.093</t>
  </si>
  <si>
    <t>3.094</t>
  </si>
  <si>
    <t>3.095</t>
  </si>
  <si>
    <t>3.096</t>
  </si>
  <si>
    <t>3.097</t>
  </si>
  <si>
    <t>3.098</t>
  </si>
  <si>
    <t>3.099</t>
  </si>
  <si>
    <t>3.100</t>
  </si>
  <si>
    <t>3.101</t>
  </si>
  <si>
    <t>3.101a</t>
  </si>
  <si>
    <t>3.102</t>
  </si>
  <si>
    <t>Stacionář</t>
  </si>
  <si>
    <t>3.103</t>
  </si>
  <si>
    <t>3.104</t>
  </si>
  <si>
    <t>3.105</t>
  </si>
  <si>
    <t>3.106</t>
  </si>
  <si>
    <t>3.107</t>
  </si>
  <si>
    <t>3.108</t>
  </si>
  <si>
    <t>3.109</t>
  </si>
  <si>
    <t>3.110</t>
  </si>
  <si>
    <t>3.111</t>
  </si>
  <si>
    <t>3.112</t>
  </si>
  <si>
    <t>3.113</t>
  </si>
  <si>
    <t>3.114</t>
  </si>
  <si>
    <t>Tech.zázemí</t>
  </si>
  <si>
    <t>3.117</t>
  </si>
  <si>
    <t>3.118</t>
  </si>
  <si>
    <t>3.119</t>
  </si>
  <si>
    <t>hygiena</t>
  </si>
  <si>
    <t>3.120</t>
  </si>
  <si>
    <t>3.121</t>
  </si>
  <si>
    <t>velín</t>
  </si>
  <si>
    <t>MaR</t>
  </si>
  <si>
    <t>4.001</t>
  </si>
  <si>
    <t>Pracovny</t>
  </si>
  <si>
    <t>4.002</t>
  </si>
  <si>
    <t>pracovna</t>
  </si>
  <si>
    <t>4.003</t>
  </si>
  <si>
    <t>Sklady</t>
  </si>
  <si>
    <t>4.004</t>
  </si>
  <si>
    <t>4.005</t>
  </si>
  <si>
    <t>4.006</t>
  </si>
  <si>
    <t>4.007</t>
  </si>
  <si>
    <t>4.008</t>
  </si>
  <si>
    <t>Elektro - slaboproud</t>
  </si>
  <si>
    <t>4.009</t>
  </si>
  <si>
    <t>4.010</t>
  </si>
  <si>
    <t>Hygiena ženy</t>
  </si>
  <si>
    <t>4.011</t>
  </si>
  <si>
    <t>WC muži</t>
  </si>
  <si>
    <t>4.012</t>
  </si>
  <si>
    <t>WC ženy</t>
  </si>
  <si>
    <t>4.013</t>
  </si>
  <si>
    <t>4.014</t>
  </si>
  <si>
    <t>4.015</t>
  </si>
  <si>
    <t>4.016</t>
  </si>
  <si>
    <t>4.017</t>
  </si>
  <si>
    <t>4.018</t>
  </si>
  <si>
    <t>4.019</t>
  </si>
  <si>
    <t>4.020</t>
  </si>
  <si>
    <t>4.021</t>
  </si>
  <si>
    <t>4.022</t>
  </si>
  <si>
    <t>4.023</t>
  </si>
  <si>
    <t>4.024</t>
  </si>
  <si>
    <t>4.025</t>
  </si>
  <si>
    <t>učebna</t>
  </si>
  <si>
    <t>studovna</t>
  </si>
  <si>
    <t>4.026</t>
  </si>
  <si>
    <t>zasedací místnost</t>
  </si>
  <si>
    <t>4.027</t>
  </si>
  <si>
    <t>4.028</t>
  </si>
  <si>
    <t>4.029</t>
  </si>
  <si>
    <t>4.030</t>
  </si>
  <si>
    <t>4.031</t>
  </si>
  <si>
    <t>4.032</t>
  </si>
  <si>
    <t>4.033</t>
  </si>
  <si>
    <t>4.034</t>
  </si>
  <si>
    <t>úklidovka</t>
  </si>
  <si>
    <t>4.035</t>
  </si>
  <si>
    <t>4.036</t>
  </si>
  <si>
    <t>4.037</t>
  </si>
  <si>
    <t>4.038</t>
  </si>
  <si>
    <t>4.039</t>
  </si>
  <si>
    <t>4.040</t>
  </si>
  <si>
    <t>4.041</t>
  </si>
  <si>
    <t>spol chir/ort</t>
  </si>
  <si>
    <t>4.042</t>
  </si>
  <si>
    <t>4.043</t>
  </si>
  <si>
    <t>chir</t>
  </si>
  <si>
    <t>4.044</t>
  </si>
  <si>
    <t>4.045</t>
  </si>
  <si>
    <t>4.046</t>
  </si>
  <si>
    <t>4.047</t>
  </si>
  <si>
    <t>4.048</t>
  </si>
  <si>
    <t>4.049</t>
  </si>
  <si>
    <t>4.050</t>
  </si>
  <si>
    <t>4.051</t>
  </si>
  <si>
    <t>4.052</t>
  </si>
  <si>
    <t>4.053</t>
  </si>
  <si>
    <t>4.054</t>
  </si>
  <si>
    <t>šachta výtahu</t>
  </si>
  <si>
    <t>4.055</t>
  </si>
  <si>
    <t>4.056</t>
  </si>
  <si>
    <t>4.057</t>
  </si>
  <si>
    <t>4.058</t>
  </si>
  <si>
    <t>4.059</t>
  </si>
  <si>
    <t>4.060</t>
  </si>
  <si>
    <t>4.061</t>
  </si>
  <si>
    <t>4.062</t>
  </si>
  <si>
    <t>4.063</t>
  </si>
  <si>
    <t>4.064</t>
  </si>
  <si>
    <t>4.065</t>
  </si>
  <si>
    <t>4.066</t>
  </si>
  <si>
    <t>4.067</t>
  </si>
  <si>
    <t>4.068</t>
  </si>
  <si>
    <t>4.069</t>
  </si>
  <si>
    <t>4.070</t>
  </si>
  <si>
    <t>4.071</t>
  </si>
  <si>
    <t>4.072</t>
  </si>
  <si>
    <t>4.073</t>
  </si>
  <si>
    <t>4.074</t>
  </si>
  <si>
    <t>4.075</t>
  </si>
  <si>
    <t>4.076</t>
  </si>
  <si>
    <t>4.077</t>
  </si>
  <si>
    <t>4.078</t>
  </si>
  <si>
    <t>4.079</t>
  </si>
  <si>
    <t>4.080</t>
  </si>
  <si>
    <t>4.081</t>
  </si>
  <si>
    <t>4.082</t>
  </si>
  <si>
    <t>PEDIATRIE</t>
  </si>
  <si>
    <r>
      <t>Plocha v 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, počet hodin /měs.</t>
    </r>
  </si>
  <si>
    <t xml:space="preserve">sklad </t>
  </si>
  <si>
    <t>OKB pod schody</t>
  </si>
  <si>
    <t>Výtah-Pediatrie - původní</t>
  </si>
  <si>
    <t>Dětské oddělení</t>
  </si>
  <si>
    <t>NEU</t>
  </si>
  <si>
    <t>HTO</t>
  </si>
  <si>
    <t>0.08</t>
  </si>
  <si>
    <t>PTÚ</t>
  </si>
  <si>
    <t>vč. zádveří</t>
  </si>
  <si>
    <t>vstupní</t>
  </si>
  <si>
    <t>Transfúzní stanice</t>
  </si>
  <si>
    <t>pracovna HTO</t>
  </si>
  <si>
    <t>Petrová</t>
  </si>
  <si>
    <t>alergologie 1</t>
  </si>
  <si>
    <t>3xtýdně PO,ÚT,ST</t>
  </si>
  <si>
    <t>OKB</t>
  </si>
  <si>
    <t>MUDr. Filová</t>
  </si>
  <si>
    <t>pohotovost</t>
  </si>
  <si>
    <t>odb. místnost</t>
  </si>
  <si>
    <t>toaleta</t>
  </si>
  <si>
    <t>recepce</t>
  </si>
  <si>
    <t>bufet</t>
  </si>
  <si>
    <t>jídelna</t>
  </si>
  <si>
    <t>dárci</t>
  </si>
  <si>
    <t>dárců</t>
  </si>
  <si>
    <t>odběrový sál</t>
  </si>
  <si>
    <t>výroba</t>
  </si>
  <si>
    <t>Oddělení klinické biochemie</t>
  </si>
  <si>
    <t>sociálka</t>
  </si>
  <si>
    <t>OKB+HTO</t>
  </si>
  <si>
    <t xml:space="preserve">pracovna </t>
  </si>
  <si>
    <t>hluboké zmrazování</t>
  </si>
  <si>
    <t>komorová chladírna</t>
  </si>
  <si>
    <t>příjem mat.</t>
  </si>
  <si>
    <t>imunohematol</t>
  </si>
  <si>
    <t>virologická</t>
  </si>
  <si>
    <t>koagulace</t>
  </si>
  <si>
    <t>hematologická</t>
  </si>
  <si>
    <t>C</t>
  </si>
  <si>
    <t>rehabilitace</t>
  </si>
  <si>
    <t>bývalá infekce</t>
  </si>
  <si>
    <t>Neurol. 2</t>
  </si>
  <si>
    <t>7x(Po - ne)</t>
  </si>
  <si>
    <t>3xtýdněPo,St,Pá</t>
  </si>
  <si>
    <t>staniční sestra</t>
  </si>
  <si>
    <t>2x(ÚT , ČT)</t>
  </si>
  <si>
    <t>7xPo - Ne</t>
  </si>
  <si>
    <t>2.24</t>
  </si>
  <si>
    <t>koupelna personál</t>
  </si>
  <si>
    <t>2x(7xPo - Ne)</t>
  </si>
  <si>
    <t>2x(7x Po - Ne)</t>
  </si>
  <si>
    <t>2.27</t>
  </si>
  <si>
    <t>sprcha ženy</t>
  </si>
  <si>
    <t>sprcha muži</t>
  </si>
  <si>
    <t>WC MUŽI</t>
  </si>
  <si>
    <t>7x Po - Ne</t>
  </si>
  <si>
    <t>NEUROLOGIE</t>
  </si>
  <si>
    <t>Energoblok</t>
  </si>
  <si>
    <t>SCHODIŠTĚ</t>
  </si>
  <si>
    <t>STROJOVNA VZDUCHOTECH.</t>
  </si>
  <si>
    <t>Neurologie - amb</t>
  </si>
  <si>
    <t>ICT</t>
  </si>
  <si>
    <t>OBSLUHA SERVERU</t>
  </si>
  <si>
    <t>SERVER</t>
  </si>
  <si>
    <t>LŮŽKOVÝ VÝTAH</t>
  </si>
  <si>
    <t>STROJOVNA VÝTAHU</t>
  </si>
  <si>
    <t>VYŠETŘOVNA</t>
  </si>
  <si>
    <t>DENNÍ STACIONÁŘ</t>
  </si>
  <si>
    <t>PŘÍJEM/KARTOTÉKA</t>
  </si>
  <si>
    <t>ZÁDVEŘÍ</t>
  </si>
  <si>
    <t>ČEKÁRNA</t>
  </si>
  <si>
    <t>VYŠETŘOVNA EEG</t>
  </si>
  <si>
    <t>VYŠETŘOVNA EMG</t>
  </si>
  <si>
    <t xml:space="preserve">CVIČEBNA </t>
  </si>
  <si>
    <t>REH</t>
  </si>
  <si>
    <t>WC PACIENTI</t>
  </si>
  <si>
    <t>SKLAD/TECHNICKÁ MÍST.</t>
  </si>
  <si>
    <t>ÚKLID</t>
  </si>
  <si>
    <t>WC PERSONÁL</t>
  </si>
  <si>
    <t>LÉKAŘSKÝ POKOJ</t>
  </si>
  <si>
    <t>KOUPELNA A WC</t>
  </si>
  <si>
    <t>ŠATNA SESTER</t>
  </si>
  <si>
    <t>SKLAD ODPADŮ</t>
  </si>
  <si>
    <t>Neurologie, OS3</t>
  </si>
  <si>
    <t>POKOJ</t>
  </si>
  <si>
    <t>WC+KOUPELNA</t>
  </si>
  <si>
    <t>PACIENTŮ</t>
  </si>
  <si>
    <t>3L</t>
  </si>
  <si>
    <t>SESTERNA</t>
  </si>
  <si>
    <t>Neurologie, OS4</t>
  </si>
  <si>
    <t>Neurologie, OS5</t>
  </si>
  <si>
    <t>KANCELÁŘ</t>
  </si>
  <si>
    <t>vrchní</t>
  </si>
  <si>
    <t>1xtýdně PO</t>
  </si>
  <si>
    <t>ČISTÍCÍ MÍSTNOST</t>
  </si>
  <si>
    <t>oddělení</t>
  </si>
  <si>
    <t>PRACOVIŠTĚ SESTER JIP</t>
  </si>
  <si>
    <t>VÝLEVKA</t>
  </si>
  <si>
    <t>KUCHYNĚ</t>
  </si>
  <si>
    <t>PŘÍPRAVNA</t>
  </si>
  <si>
    <t>IKTOVÁ JEDNOTKA</t>
  </si>
  <si>
    <t>UMÝVÁRNA PACIENTŮ JIP</t>
  </si>
  <si>
    <t>CHODBA+SCHODIŠTĚ</t>
  </si>
  <si>
    <t>MUŽI</t>
  </si>
  <si>
    <t>ŽENY</t>
  </si>
  <si>
    <t>KOŽNÍ</t>
  </si>
  <si>
    <t xml:space="preserve">první úklid 6:00-7:00 hod, druhý 12:00-13:00 hod., koše 2x denně, výměna náplní, toal.papíru, ručníků v režii objednatele, likvidace léčiv a obalů od léčiv v režii objednatele </t>
  </si>
  <si>
    <t>460602</t>
  </si>
  <si>
    <t>Centrální operační sály Ortopedie</t>
  </si>
  <si>
    <t>460604</t>
  </si>
  <si>
    <t>Centrální operační sály Oční</t>
  </si>
  <si>
    <t>460605</t>
  </si>
  <si>
    <t>Centrální operační sály Gynekologie</t>
  </si>
  <si>
    <t>460606</t>
  </si>
  <si>
    <t>Centrální operační sály Externisté</t>
  </si>
  <si>
    <t>460607</t>
  </si>
  <si>
    <t>Ostraha</t>
  </si>
  <si>
    <t>479806</t>
  </si>
  <si>
    <t>Ř Lékařská knihovna</t>
  </si>
  <si>
    <t>481003</t>
  </si>
  <si>
    <t>Ř Oddělení řízení kvality</t>
  </si>
  <si>
    <t>481200</t>
  </si>
  <si>
    <t>487110</t>
  </si>
  <si>
    <t>487270</t>
  </si>
  <si>
    <t>487310</t>
  </si>
  <si>
    <t>487320</t>
  </si>
  <si>
    <t>Technicko-investiční činnosti</t>
  </si>
  <si>
    <t>487410</t>
  </si>
  <si>
    <t>487500</t>
  </si>
  <si>
    <t>487520</t>
  </si>
  <si>
    <t>Stravovací provoz</t>
  </si>
  <si>
    <t>487532</t>
  </si>
  <si>
    <t>487610</t>
  </si>
  <si>
    <t>487620</t>
  </si>
  <si>
    <t>Ubytovna + byty</t>
  </si>
  <si>
    <t>487630</t>
  </si>
  <si>
    <t>487650</t>
  </si>
  <si>
    <t>487651</t>
  </si>
  <si>
    <t>Údržba vzduchotechnika</t>
  </si>
  <si>
    <t>487652</t>
  </si>
  <si>
    <t>487660</t>
  </si>
  <si>
    <t>Zdravotně-dopravní služba SYN, LIN, OUN</t>
  </si>
  <si>
    <t>Rozúčtování centrály</t>
  </si>
  <si>
    <t>499900</t>
  </si>
  <si>
    <t>5xPo-Ne</t>
  </si>
  <si>
    <t>izolační</t>
  </si>
  <si>
    <t>pokoj izol</t>
  </si>
  <si>
    <t>podesta</t>
  </si>
  <si>
    <t>401</t>
  </si>
  <si>
    <t>420</t>
  </si>
  <si>
    <t>412</t>
  </si>
  <si>
    <t>419</t>
  </si>
  <si>
    <t>418</t>
  </si>
  <si>
    <t>417</t>
  </si>
  <si>
    <t>414</t>
  </si>
  <si>
    <t>413</t>
  </si>
  <si>
    <t>415</t>
  </si>
  <si>
    <t>416</t>
  </si>
  <si>
    <t>421</t>
  </si>
  <si>
    <t>411</t>
  </si>
  <si>
    <t>410</t>
  </si>
  <si>
    <t>409</t>
  </si>
  <si>
    <t>408</t>
  </si>
  <si>
    <t>402</t>
  </si>
  <si>
    <t>403</t>
  </si>
  <si>
    <t>405</t>
  </si>
  <si>
    <t>404</t>
  </si>
  <si>
    <t>406</t>
  </si>
  <si>
    <t>407</t>
  </si>
  <si>
    <t>115a</t>
  </si>
  <si>
    <t>131a</t>
  </si>
  <si>
    <t>201a</t>
  </si>
  <si>
    <t>207a</t>
  </si>
  <si>
    <t>301a</t>
  </si>
  <si>
    <t>307a</t>
  </si>
  <si>
    <t>332a</t>
  </si>
  <si>
    <t>341a</t>
  </si>
  <si>
    <t>341b</t>
  </si>
  <si>
    <t>341c</t>
  </si>
  <si>
    <t>401a</t>
  </si>
  <si>
    <t>415a</t>
  </si>
  <si>
    <t>epidem. sestra</t>
  </si>
  <si>
    <t>1x Po-Pá</t>
  </si>
  <si>
    <t>Centrální operační sály Chirurgie</t>
  </si>
  <si>
    <t>Celkem cena pravidelného úklidu v Kč za rok bez DPH</t>
  </si>
  <si>
    <t>Celkem cena pravidelného úklidu v Kč za rok s DPH</t>
  </si>
  <si>
    <t>Cena úklidu po malování a stavebních úpravách za den úklidu v Kč bez DPH</t>
  </si>
  <si>
    <t>6 -  zhotovitel</t>
  </si>
  <si>
    <t>Upřesnění: v případě zákroku v So, Ne, a svátek provede dodavatel úklid na příslušné vyšetřovně, účtován bude 1x stěr v příslušných místnostech</t>
  </si>
  <si>
    <t>sklad - pod schody</t>
  </si>
  <si>
    <t>skříně</t>
  </si>
  <si>
    <r>
      <t xml:space="preserve">Celkem </t>
    </r>
    <r>
      <rPr>
        <b/>
        <sz val="9"/>
        <rFont val="Calibri"/>
        <family val="2"/>
        <charset val="238"/>
        <scheme val="minor"/>
      </rPr>
      <t>(je předmětem hodnocení)</t>
    </r>
  </si>
  <si>
    <t xml:space="preserve">****) Maximální hodnotu jednotkové ceny určuje zadavatel. Nabídková cena nesmí být vyšší než tato hodnota, v opačném případě bude nabídka posuzována jako nepřijatelná </t>
  </si>
  <si>
    <t>maximální hodnota (bez DPH) ****)</t>
  </si>
  <si>
    <t xml:space="preserve">Dodavatel vyplní šedě podbarvená pole jednotkovými cenami za úklid m2 vymezené plochy a cenami za úklid po havárii za hodinu práce v členění podle názvu typu služby mimořádného úklidu. Nabídnuté ceny jsou závazné. </t>
  </si>
  <si>
    <t>Dodavatel vyplní šedě podbarvená pole jednotkovými cenami za úklid m2 podlahové plochy místnosti, prostoru a cenami za stálé služby a pohotovosti za hodinu práce jedné osoby v členění podle kódu místnosti a k němu náležejícímu informativnímu popisu ve sloupci druh prostoru. Nabídnuté ceny jsou závazné. Jednotkové ceny nejsou v tomto jejich samostatném vyjádření předmětem hodnocení, nicméně definují celkovou nabídkovou cenu  za službu pravidelného denního úklidu.</t>
  </si>
  <si>
    <t>Pro potřeby výpočtu nabídkové ceny, je zavedeno zjednodušení a to konkrétně ve výpočtu koeficientu, který zohledňuje frekvenci úklidu během dne, týdne nebo měsíce. Přepočet frekvence úklidu v daném roce, nebere v potaz anomálie v některých týdnech, kdy je méně než 5 pracovních dní a vše je zjednodušeno do principu, že každý týden má 5 pracovních dní a 2 dny pracovního volna. Dále je kalkulováno s 9 dny pracovního volna (So a Ne) v jednom měsíci a 21 pracovními dny v jedom měsíci. Následně při měsíční fakturaci již dodavatel bude při výpočtu smluvní ceny vycházet z reálného počtu pracovních dnů a dnů pracovního volna a svátků a nebude nutné používat toto zjednodušení pro potřeby výpočtu celkové nabídkové ceny.</t>
  </si>
  <si>
    <t>- je-li někde uvedeno Ne, je tím myšlen úklid nejen v den pracovního volna (neděle), ale i v den státního svátku</t>
  </si>
  <si>
    <r>
      <rPr>
        <b/>
        <sz val="12"/>
        <color theme="1"/>
        <rFont val="Calibri"/>
        <family val="2"/>
        <charset val="238"/>
        <scheme val="minor"/>
      </rPr>
      <t>Služba pravidelného úklidu - úklid po malování a stavebních úpravách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</si>
  <si>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rPr>
        <b/>
        <sz val="12"/>
        <color theme="1"/>
        <rFont val="Calibri"/>
        <family val="2"/>
        <charset val="238"/>
        <scheme val="minor"/>
      </rPr>
      <t>Služba pravidelného denního úklidu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</si>
  <si>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za 4 kalendářní roky vypočtená dle ceníku pravidelného úklidu na příloze č. 2 a kalkulace nabídkové ceny na příloze č. 5.1 až 5.9 pro budovu</t>
  </si>
  <si>
    <t>(při frekvenci 1x za rok / 1 den ) za 4 kalendářní roky vypočtená dle ocenění zhotovitele na příloze č. 5.1 až 5.9 pro budovu</t>
  </si>
  <si>
    <t>Zadavatel upozorňuje uchazeče, že uvedená tabulka musí být oceněna kompletně, tj. pokud některá položka k ocenění nebude vyplněna (mimo ocenění typu prostor, které se na přílohách 5.1 až 5.9 nevyskytují), nebo bude mít nulovou hodnotu, bude nabídka tohoto uchazeče považována za nepřijatelnou a bude vyřazena.</t>
  </si>
  <si>
    <t>Pro potřeby ocenění stálé služby STSL1, STSL2 a TEL uvádí zadavatel obvyklé počty pracovníků, kteří jsou schopní v daném čase, frekvenci a při dodržení pracovního postupů a specifikce úklidových služeb zajistit tuto službu v požadované kvalitě. Počty pracovníků uvedené v tabulkové části přílohy č. 5.1 až 5.9 - Kalkulace nabídkové ceny jsou pouze orientační, ovšem zadavatel doporučuje dodavateli, aby uvedené počty pracovníků byly maximálně respektovány.</t>
  </si>
  <si>
    <r>
      <t xml:space="preserve">Pro ilustraci jsou za zkratkami kódu prostoru uvedeny obvyklé, příznačné názvy místností, kterým je přiřazen daný typ místnosti nebo provozu. Pro potřeby zpracování nabídkové ceny a následného výpočtu ceny smluvní s vybraným uchazečem bude ale vždy </t>
    </r>
    <r>
      <rPr>
        <b/>
        <i/>
        <u/>
        <sz val="11"/>
        <color theme="1"/>
        <rFont val="Calibri"/>
        <family val="2"/>
        <charset val="238"/>
        <scheme val="minor"/>
      </rPr>
      <t>rozhodné</t>
    </r>
    <r>
      <rPr>
        <i/>
        <sz val="11"/>
        <color theme="1"/>
        <rFont val="Calibri"/>
        <family val="2"/>
        <charset val="238"/>
        <scheme val="minor"/>
      </rPr>
      <t xml:space="preserve"> určení typu místnosti nebo prostoru tak, jak je stanoveno v tabulce přílohy č. 5.1 až 5.9 - Kalkulace nabídkových cen a to podle konkrétně uvedené zkratky kódu příslušné místnosti.</t>
    </r>
  </si>
  <si>
    <t xml:space="preserve">Výpočty v tabulkách na přílohách 5.1 až 5.9 jsou zaokrouhlovány na 2 desetinná místa. Uchazeč bude veškeré závazné ceny uvádět v tomto formátu. </t>
  </si>
  <si>
    <r>
      <t xml:space="preserve">Pro větší přehlednost tabulkové části na příloze č. 5.1 až 5.9jsou u místností, které nejsou aktuálně předmětem zakázky, zvýrazněn celý řádek </t>
    </r>
    <r>
      <rPr>
        <i/>
        <sz val="11"/>
        <color rgb="FFFF0000"/>
        <rFont val="Calibri"/>
        <family val="2"/>
        <charset val="238"/>
        <scheme val="minor"/>
      </rPr>
      <t>červenou</t>
    </r>
    <r>
      <rPr>
        <i/>
        <sz val="11"/>
        <rFont val="Calibri"/>
        <family val="2"/>
        <charset val="238"/>
        <scheme val="minor"/>
      </rPr>
      <t xml:space="preserve"> barvou a dále v textu je uvedena informace o tom, že tato místnost, případně služba se neoceňuje.</t>
    </r>
  </si>
  <si>
    <t>Komplexní úklid Litomyšlské nemocnice společnosti Nemocnice Pardubického kraje, a.s.</t>
  </si>
  <si>
    <t>REKAPITULACE CENY</t>
  </si>
  <si>
    <t>Příloha č. 2</t>
  </si>
  <si>
    <t>POKYNY K VYPLNĚNÍ:</t>
  </si>
  <si>
    <t>Příloha č. 3</t>
  </si>
  <si>
    <r>
      <t xml:space="preserve">Jednotkové ceny </t>
    </r>
    <r>
      <rPr>
        <b/>
        <i/>
        <u/>
        <sz val="10"/>
        <rFont val="Arial CE"/>
        <charset val="238"/>
      </rPr>
      <t>jsou</t>
    </r>
    <r>
      <rPr>
        <b/>
        <i/>
        <sz val="10"/>
        <rFont val="Arial CE"/>
        <charset val="238"/>
      </rPr>
      <t xml:space="preserve"> v tomto jejich samostatném vyjádření předmětem hodnocení. Tyto ceny </t>
    </r>
    <r>
      <rPr>
        <b/>
        <i/>
        <u/>
        <sz val="10"/>
        <rFont val="Arial CE"/>
        <charset val="238"/>
      </rPr>
      <t>nemají</t>
    </r>
    <r>
      <rPr>
        <b/>
        <i/>
        <sz val="10"/>
        <rFont val="Arial CE"/>
        <charset val="238"/>
      </rPr>
      <t xml:space="preserve"> vliv na hodnocení nabídkové ceny za službu pravidelného úklidu vypočtené na přílohách 5.1 až 5.9.</t>
    </r>
  </si>
  <si>
    <t>5_1</t>
  </si>
  <si>
    <t>5_2</t>
  </si>
  <si>
    <t>5_3</t>
  </si>
  <si>
    <t>5_4</t>
  </si>
  <si>
    <t>5_5</t>
  </si>
  <si>
    <t>5_6</t>
  </si>
  <si>
    <t>5_7</t>
  </si>
  <si>
    <t>5_8</t>
  </si>
  <si>
    <t>5_9</t>
  </si>
  <si>
    <t>Cena za plnění služby mimořádného úklidu v jednotkovém vyjádření</t>
  </si>
  <si>
    <t>Příloha č.  1</t>
  </si>
  <si>
    <t>Cena za plnění služby pravidelného úklidu v jednotkovém vyjádření podle charakteru předmětných prostor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</si>
</sst>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Kč&quot;_-;\-* #,##0.00\ &quot;Kč&quot;_-;_-* &quot;-&quot;??\ &quot;Kč&quot;_-;_-@_-"/>
    <numFmt numFmtId="164" formatCode="#,##0.00\ &quot;Kč&quot;"/>
    <numFmt numFmtId="165" formatCode="#,##0.0\ &quot;Kč&quot;"/>
    <numFmt numFmtId="166" formatCode="#,##0.0"/>
    <numFmt numFmtId="167" formatCode="_-* #,##0.00&quot; Kč&quot;_-;\-* #,##0.00&quot; Kč&quot;_-;_-* \-??&quot; Kč&quot;_-;_-@_-"/>
    <numFmt numFmtId="168" formatCode="#,##0.00_ ;\-#,##0.00\ "/>
    <numFmt numFmtId="169" formatCode="00&quot; &quot;00&quot; &quot;00&quot; &quot;00"/>
    <numFmt numFmtId="170" formatCode=".&quot; &quot;&quot; &quot;00&quot; &quot;;"/>
    <numFmt numFmtId="171" formatCode="0.00000"/>
    <numFmt numFmtId="172" formatCode="0.0"/>
  </numFmts>
  <fonts count="7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 CE"/>
      <charset val="238"/>
    </font>
    <font>
      <b/>
      <u/>
      <sz val="10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10"/>
      <name val="Verdana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2"/>
      <name val="Calibri"/>
      <family val="2"/>
      <charset val="238"/>
      <scheme val="minor"/>
    </font>
    <font>
      <i/>
      <sz val="10"/>
      <name val="Arial CE"/>
      <charset val="238"/>
    </font>
    <font>
      <b/>
      <sz val="12"/>
      <name val="Arial CE"/>
      <charset val="238"/>
    </font>
    <font>
      <sz val="9"/>
      <color theme="1"/>
      <name val="Calibri"/>
      <family val="2"/>
      <charset val="238"/>
      <scheme val="minor"/>
    </font>
    <font>
      <sz val="7"/>
      <name val="Arial"/>
      <family val="2"/>
      <charset val="238"/>
    </font>
    <font>
      <sz val="11"/>
      <color indexed="8"/>
      <name val="Calibri"/>
      <family val="2"/>
      <charset val="238"/>
    </font>
    <font>
      <i/>
      <vertAlign val="superscript"/>
      <sz val="10"/>
      <name val="Arial CE"/>
      <charset val="238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9"/>
      <color indexed="8"/>
      <name val="Arial"/>
      <family val="2"/>
    </font>
    <font>
      <sz val="10"/>
      <color indexed="8"/>
      <name val="Arial"/>
      <family val="2"/>
      <charset val="238"/>
    </font>
    <font>
      <sz val="10"/>
      <color indexed="8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indexed="8"/>
      <name val="Arial"/>
      <family val="2"/>
      <charset val="238"/>
    </font>
    <font>
      <sz val="9"/>
      <name val="Times New Roman CE"/>
      <family val="1"/>
      <charset val="238"/>
    </font>
    <font>
      <sz val="10"/>
      <color rgb="FFFF0000"/>
      <name val="Verdana"/>
      <family val="2"/>
      <charset val="238"/>
    </font>
    <font>
      <sz val="9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0"/>
      <color indexed="8"/>
      <name val="Verdana"/>
      <family val="2"/>
      <charset val="238"/>
    </font>
    <font>
      <b/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7"/>
      <color indexed="8"/>
      <name val="Arial"/>
      <family val="2"/>
      <charset val="238"/>
    </font>
    <font>
      <b/>
      <sz val="7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10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10"/>
      <name val="Arial"/>
      <family val="2"/>
    </font>
    <font>
      <sz val="12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color rgb="FFFF0000"/>
      <name val="Verdana"/>
      <family val="2"/>
      <charset val="238"/>
    </font>
    <font>
      <b/>
      <sz val="8"/>
      <name val="Arial"/>
      <family val="2"/>
    </font>
    <font>
      <b/>
      <i/>
      <u/>
      <sz val="10"/>
      <name val="Arial CE"/>
      <charset val="238"/>
    </font>
    <font>
      <b/>
      <sz val="10"/>
      <color theme="1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b/>
      <sz val="9"/>
      <name val="Calibri"/>
      <family val="2"/>
      <charset val="238"/>
      <scheme val="minor"/>
    </font>
    <font>
      <b/>
      <i/>
      <sz val="10"/>
      <name val="Arial CE"/>
      <charset val="238"/>
    </font>
    <font>
      <i/>
      <sz val="11"/>
      <color rgb="FFFF0000"/>
      <name val="Calibri"/>
      <family val="2"/>
      <charset val="238"/>
      <scheme val="minor"/>
    </font>
    <font>
      <b/>
      <sz val="18"/>
      <name val="Arial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59996337778862885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theme="0" tint="-0.24994659260841701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theme="0" tint="-0.24994659260841701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theme="0" tint="-0.24994659260841701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theme="0" tint="-0.24994659260841701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theme="0" tint="-0.24994659260841701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theme="0" tint="-0.24994659260841701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theme="0" tint="-0.24994659260841701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0" fillId="0" borderId="0">
      <alignment vertical="center"/>
    </xf>
    <xf numFmtId="44" fontId="16" fillId="0" borderId="0" applyFont="0" applyFill="0" applyBorder="0" applyAlignment="0" applyProtection="0"/>
    <xf numFmtId="167" fontId="24" fillId="0" borderId="0"/>
    <xf numFmtId="0" fontId="24" fillId="0" borderId="0"/>
  </cellStyleXfs>
  <cellXfs count="769">
    <xf numFmtId="0" fontId="0" fillId="0" borderId="0" xfId="0"/>
    <xf numFmtId="0" fontId="5" fillId="0" borderId="0" xfId="3"/>
    <xf numFmtId="0" fontId="21" fillId="0" borderId="0" xfId="1" applyFont="1" applyProtection="1"/>
    <xf numFmtId="0" fontId="21" fillId="0" borderId="0" xfId="1" applyFont="1" applyAlignment="1" applyProtection="1">
      <alignment horizontal="center" shrinkToFit="1"/>
    </xf>
    <xf numFmtId="4" fontId="21" fillId="0" borderId="0" xfId="1" applyNumberFormat="1" applyFont="1" applyProtection="1"/>
    <xf numFmtId="4" fontId="21" fillId="0" borderId="0" xfId="1" applyNumberFormat="1" applyFont="1" applyAlignment="1" applyProtection="1">
      <alignment horizontal="right"/>
    </xf>
    <xf numFmtId="49" fontId="21" fillId="0" borderId="0" xfId="1" applyNumberFormat="1" applyFont="1" applyProtection="1"/>
    <xf numFmtId="0" fontId="21" fillId="0" borderId="0" xfId="1" applyFont="1" applyAlignment="1" applyProtection="1">
      <alignment horizontal="left"/>
    </xf>
    <xf numFmtId="0" fontId="1" fillId="0" borderId="0" xfId="1" applyProtection="1"/>
    <xf numFmtId="0" fontId="1" fillId="0" borderId="0" xfId="1" applyAlignment="1" applyProtection="1">
      <alignment horizontal="center"/>
    </xf>
    <xf numFmtId="0" fontId="1" fillId="0" borderId="0" xfId="1" applyAlignment="1" applyProtection="1">
      <alignment horizontal="center" shrinkToFit="1"/>
    </xf>
    <xf numFmtId="4" fontId="1" fillId="0" borderId="0" xfId="1" applyNumberFormat="1" applyProtection="1"/>
    <xf numFmtId="44" fontId="0" fillId="0" borderId="4" xfId="6" applyFont="1" applyBorder="1" applyAlignment="1" applyProtection="1">
      <alignment vertical="center"/>
    </xf>
    <xf numFmtId="44" fontId="19" fillId="5" borderId="38" xfId="6" applyFont="1" applyFill="1" applyBorder="1" applyAlignment="1" applyProtection="1">
      <alignment vertical="center"/>
    </xf>
    <xf numFmtId="0" fontId="2" fillId="4" borderId="0" xfId="3" applyFont="1" applyFill="1" applyProtection="1"/>
    <xf numFmtId="0" fontId="5" fillId="0" borderId="0" xfId="3" applyProtection="1"/>
    <xf numFmtId="166" fontId="12" fillId="2" borderId="21" xfId="3" applyNumberFormat="1" applyFont="1" applyFill="1" applyBorder="1" applyAlignment="1" applyProtection="1">
      <alignment horizontal="center" vertical="center" wrapText="1"/>
    </xf>
    <xf numFmtId="0" fontId="5" fillId="0" borderId="26" xfId="3" applyBorder="1" applyAlignment="1" applyProtection="1">
      <alignment shrinkToFit="1"/>
    </xf>
    <xf numFmtId="4" fontId="4" fillId="0" borderId="26" xfId="3" applyNumberFormat="1" applyFont="1" applyBorder="1" applyAlignment="1" applyProtection="1">
      <alignment shrinkToFit="1"/>
    </xf>
    <xf numFmtId="4" fontId="5" fillId="0" borderId="30" xfId="3" applyNumberFormat="1" applyFont="1" applyFill="1" applyBorder="1" applyAlignment="1" applyProtection="1">
      <alignment horizontal="center" vertical="center" shrinkToFit="1"/>
    </xf>
    <xf numFmtId="0" fontId="23" fillId="0" borderId="30" xfId="3" applyNumberFormat="1" applyFont="1" applyFill="1" applyBorder="1" applyAlignment="1" applyProtection="1">
      <alignment horizontal="center" vertical="center" shrinkToFit="1"/>
    </xf>
    <xf numFmtId="1" fontId="23" fillId="0" borderId="30" xfId="3" applyNumberFormat="1" applyFont="1" applyFill="1" applyBorder="1" applyAlignment="1" applyProtection="1">
      <alignment horizontal="center" vertical="center" shrinkToFit="1"/>
    </xf>
    <xf numFmtId="0" fontId="5" fillId="0" borderId="30" xfId="3" applyFont="1" applyFill="1" applyBorder="1" applyAlignment="1" applyProtection="1">
      <alignment horizontal="center" vertical="center" shrinkToFit="1"/>
    </xf>
    <xf numFmtId="0" fontId="14" fillId="0" borderId="30" xfId="3" applyFont="1" applyFill="1" applyBorder="1" applyAlignment="1" applyProtection="1">
      <alignment horizontal="center" vertical="center" shrinkToFit="1"/>
    </xf>
    <xf numFmtId="4" fontId="5" fillId="0" borderId="31" xfId="3" applyNumberFormat="1" applyFont="1" applyFill="1" applyBorder="1" applyAlignment="1" applyProtection="1">
      <alignment horizontal="center" vertical="center" shrinkToFit="1"/>
    </xf>
    <xf numFmtId="0" fontId="23" fillId="0" borderId="31" xfId="3" applyNumberFormat="1" applyFont="1" applyFill="1" applyBorder="1" applyAlignment="1" applyProtection="1">
      <alignment horizontal="center" vertical="center" shrinkToFit="1"/>
    </xf>
    <xf numFmtId="1" fontId="23" fillId="0" borderId="31" xfId="3" applyNumberFormat="1" applyFont="1" applyFill="1" applyBorder="1" applyAlignment="1" applyProtection="1">
      <alignment horizontal="center" vertical="center" shrinkToFit="1"/>
    </xf>
    <xf numFmtId="0" fontId="5" fillId="4" borderId="0" xfId="3" applyFill="1" applyProtection="1"/>
    <xf numFmtId="0" fontId="5" fillId="0" borderId="31" xfId="3" applyFont="1" applyFill="1" applyBorder="1" applyAlignment="1" applyProtection="1">
      <alignment horizontal="left" vertical="center" shrinkToFit="1"/>
    </xf>
    <xf numFmtId="0" fontId="5" fillId="0" borderId="31" xfId="3" applyFont="1" applyFill="1" applyBorder="1" applyAlignment="1" applyProtection="1">
      <alignment horizontal="center" vertical="center" shrinkToFit="1"/>
    </xf>
    <xf numFmtId="0" fontId="5" fillId="0" borderId="30" xfId="3" applyFont="1" applyFill="1" applyBorder="1" applyAlignment="1" applyProtection="1">
      <alignment horizontal="left" vertical="center" shrinkToFit="1"/>
    </xf>
    <xf numFmtId="2" fontId="5" fillId="0" borderId="26" xfId="3" applyNumberFormat="1" applyBorder="1" applyAlignment="1" applyProtection="1">
      <alignment shrinkToFit="1"/>
    </xf>
    <xf numFmtId="0" fontId="14" fillId="0" borderId="31" xfId="3" applyFont="1" applyFill="1" applyBorder="1" applyAlignment="1" applyProtection="1">
      <alignment horizontal="center" vertical="center" shrinkToFit="1"/>
    </xf>
    <xf numFmtId="0" fontId="1" fillId="0" borderId="0" xfId="1" applyFill="1" applyProtection="1"/>
    <xf numFmtId="0" fontId="1" fillId="0" borderId="0" xfId="1" applyFill="1" applyAlignment="1" applyProtection="1">
      <alignment horizontal="center"/>
    </xf>
    <xf numFmtId="0" fontId="1" fillId="0" borderId="0" xfId="1" applyFill="1" applyAlignment="1" applyProtection="1">
      <alignment horizontal="center" shrinkToFit="1"/>
    </xf>
    <xf numFmtId="4" fontId="3" fillId="0" borderId="0" xfId="1" applyNumberFormat="1" applyFont="1" applyFill="1" applyProtection="1"/>
    <xf numFmtId="0" fontId="4" fillId="6" borderId="25" xfId="2" applyFont="1" applyFill="1" applyBorder="1" applyAlignment="1" applyProtection="1">
      <alignment vertical="center"/>
    </xf>
    <xf numFmtId="0" fontId="4" fillId="6" borderId="26" xfId="2" applyFont="1" applyFill="1" applyBorder="1" applyAlignment="1" applyProtection="1">
      <alignment vertical="center"/>
    </xf>
    <xf numFmtId="0" fontId="4" fillId="6" borderId="27" xfId="2" applyFont="1" applyFill="1" applyBorder="1" applyAlignment="1" applyProtection="1">
      <alignment vertical="center"/>
    </xf>
    <xf numFmtId="0" fontId="4" fillId="6" borderId="28" xfId="2" applyFont="1" applyFill="1" applyBorder="1" applyAlignment="1" applyProtection="1">
      <alignment vertical="center"/>
    </xf>
    <xf numFmtId="0" fontId="4" fillId="6" borderId="0" xfId="2" applyFont="1" applyFill="1" applyBorder="1" applyAlignment="1" applyProtection="1">
      <alignment vertical="center"/>
    </xf>
    <xf numFmtId="0" fontId="4" fillId="6" borderId="15" xfId="2" applyFont="1" applyFill="1" applyBorder="1" applyAlignment="1" applyProtection="1">
      <alignment vertical="center"/>
    </xf>
    <xf numFmtId="0" fontId="4" fillId="6" borderId="29" xfId="2" applyFont="1" applyFill="1" applyBorder="1" applyAlignment="1" applyProtection="1">
      <alignment vertical="center"/>
    </xf>
    <xf numFmtId="0" fontId="4" fillId="6" borderId="16" xfId="2" applyFont="1" applyFill="1" applyBorder="1" applyAlignment="1" applyProtection="1">
      <alignment vertical="center"/>
    </xf>
    <xf numFmtId="0" fontId="4" fillId="6" borderId="17" xfId="2" applyFont="1" applyFill="1" applyBorder="1" applyAlignment="1" applyProtection="1">
      <alignment vertical="center"/>
    </xf>
    <xf numFmtId="0" fontId="8" fillId="6" borderId="37" xfId="1" applyFont="1" applyFill="1" applyBorder="1" applyAlignment="1" applyProtection="1">
      <alignment horizontal="center" vertical="center" wrapText="1"/>
    </xf>
    <xf numFmtId="0" fontId="8" fillId="6" borderId="29" xfId="1" applyFont="1" applyFill="1" applyBorder="1" applyAlignment="1" applyProtection="1">
      <alignment horizontal="center" vertical="center" wrapText="1"/>
    </xf>
    <xf numFmtId="0" fontId="8" fillId="6" borderId="38" xfId="1" applyFont="1" applyFill="1" applyBorder="1" applyAlignment="1" applyProtection="1">
      <alignment horizontal="center" vertical="center" wrapText="1"/>
    </xf>
    <xf numFmtId="0" fontId="1" fillId="0" borderId="0" xfId="1" applyAlignment="1" applyProtection="1">
      <alignment vertical="center"/>
    </xf>
    <xf numFmtId="2" fontId="5" fillId="0" borderId="4" xfId="3" applyNumberFormat="1" applyFont="1" applyBorder="1" applyAlignment="1" applyProtection="1">
      <alignment horizontal="right" vertical="center"/>
    </xf>
    <xf numFmtId="2" fontId="5" fillId="0" borderId="4" xfId="2" applyNumberFormat="1" applyFont="1" applyFill="1" applyBorder="1" applyAlignment="1" applyProtection="1">
      <alignment horizontal="left" vertical="center" wrapText="1" indent="1"/>
    </xf>
    <xf numFmtId="2" fontId="5" fillId="0" borderId="4" xfId="3" applyNumberFormat="1" applyFont="1" applyFill="1" applyBorder="1" applyAlignment="1" applyProtection="1">
      <alignment horizontal="right" vertical="center"/>
    </xf>
    <xf numFmtId="2" fontId="5" fillId="0" borderId="4" xfId="3" applyNumberFormat="1" applyFont="1" applyFill="1" applyBorder="1" applyAlignment="1" applyProtection="1">
      <alignment horizontal="left" vertical="center" wrapText="1"/>
    </xf>
    <xf numFmtId="2" fontId="5" fillId="0" borderId="32" xfId="3" applyNumberFormat="1" applyFont="1" applyFill="1" applyBorder="1" applyAlignment="1" applyProtection="1">
      <alignment horizontal="right" vertical="center"/>
    </xf>
    <xf numFmtId="2" fontId="5" fillId="0" borderId="7" xfId="2" applyNumberFormat="1" applyFont="1" applyFill="1" applyBorder="1" applyAlignment="1" applyProtection="1">
      <alignment horizontal="left" vertical="center" wrapText="1" indent="1"/>
    </xf>
    <xf numFmtId="0" fontId="26" fillId="0" borderId="0" xfId="1" applyFont="1" applyAlignment="1" applyProtection="1">
      <alignment vertical="top"/>
    </xf>
    <xf numFmtId="0" fontId="26" fillId="0" borderId="0" xfId="1" applyFont="1" applyAlignment="1" applyProtection="1">
      <alignment vertical="top" wrapText="1"/>
    </xf>
    <xf numFmtId="0" fontId="20" fillId="0" borderId="0" xfId="1" applyFont="1" applyAlignment="1" applyProtection="1">
      <alignment horizontal="left"/>
    </xf>
    <xf numFmtId="0" fontId="1" fillId="0" borderId="0" xfId="1" applyFont="1" applyProtection="1"/>
    <xf numFmtId="0" fontId="1" fillId="0" borderId="0" xfId="1" applyFont="1" applyAlignment="1" applyProtection="1">
      <alignment horizontal="center"/>
    </xf>
    <xf numFmtId="0" fontId="1" fillId="0" borderId="0" xfId="1" applyFont="1" applyAlignment="1" applyProtection="1">
      <alignment horizontal="center" shrinkToFit="1"/>
    </xf>
    <xf numFmtId="49" fontId="9" fillId="0" borderId="0" xfId="4" applyNumberFormat="1" applyFont="1" applyFill="1" applyAlignment="1" applyProtection="1">
      <alignment horizontal="left" vertical="center"/>
    </xf>
    <xf numFmtId="49" fontId="5" fillId="0" borderId="0" xfId="4" applyNumberFormat="1" applyFont="1" applyFill="1" applyAlignment="1" applyProtection="1">
      <alignment vertical="center"/>
    </xf>
    <xf numFmtId="4" fontId="5" fillId="0" borderId="0" xfId="3" applyNumberFormat="1" applyFont="1" applyFill="1" applyAlignment="1" applyProtection="1">
      <alignment horizontal="center" vertical="center"/>
    </xf>
    <xf numFmtId="49" fontId="5" fillId="0" borderId="0" xfId="4" applyNumberFormat="1" applyFont="1" applyFill="1" applyAlignment="1" applyProtection="1">
      <alignment vertical="center" wrapText="1"/>
    </xf>
    <xf numFmtId="49" fontId="5" fillId="0" borderId="0" xfId="4" applyNumberFormat="1" applyFont="1" applyFill="1" applyAlignment="1" applyProtection="1">
      <alignment horizontal="right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Protection="1">
      <alignment vertical="center"/>
    </xf>
    <xf numFmtId="0" fontId="0" fillId="0" borderId="0" xfId="0" applyAlignment="1">
      <alignment horizontal="left"/>
    </xf>
    <xf numFmtId="0" fontId="31" fillId="3" borderId="0" xfId="0" applyFont="1" applyFill="1" applyAlignment="1">
      <alignment horizontal="left" vertical="center" indent="1"/>
    </xf>
    <xf numFmtId="0" fontId="31" fillId="3" borderId="0" xfId="0" applyFont="1" applyFill="1" applyAlignment="1">
      <alignment vertical="center" wrapText="1"/>
    </xf>
    <xf numFmtId="0" fontId="22" fillId="0" borderId="30" xfId="0" applyFont="1" applyFill="1" applyBorder="1" applyAlignment="1" applyProtection="1">
      <alignment vertical="center"/>
    </xf>
    <xf numFmtId="0" fontId="36" fillId="0" borderId="30" xfId="3" applyNumberFormat="1" applyFont="1" applyFill="1" applyBorder="1" applyAlignment="1" applyProtection="1">
      <alignment horizontal="center" vertical="center" shrinkToFit="1"/>
    </xf>
    <xf numFmtId="4" fontId="32" fillId="0" borderId="30" xfId="3" applyNumberFormat="1" applyFont="1" applyFill="1" applyBorder="1" applyAlignment="1" applyProtection="1">
      <alignment horizontal="left" vertical="center" shrinkToFit="1"/>
    </xf>
    <xf numFmtId="0" fontId="32" fillId="0" borderId="30" xfId="3" applyFont="1" applyFill="1" applyBorder="1" applyAlignment="1" applyProtection="1">
      <alignment horizontal="center" vertical="center" shrinkToFit="1"/>
    </xf>
    <xf numFmtId="0" fontId="33" fillId="0" borderId="30" xfId="3" applyFont="1" applyFill="1" applyBorder="1" applyAlignment="1" applyProtection="1">
      <alignment horizontal="center" vertical="center" shrinkToFit="1"/>
    </xf>
    <xf numFmtId="1" fontId="36" fillId="0" borderId="30" xfId="3" applyNumberFormat="1" applyFont="1" applyFill="1" applyBorder="1" applyAlignment="1" applyProtection="1">
      <alignment horizontal="center" vertical="center" shrinkToFit="1"/>
    </xf>
    <xf numFmtId="0" fontId="7" fillId="0" borderId="0" xfId="3" applyFont="1" applyAlignment="1">
      <alignment wrapText="1"/>
    </xf>
    <xf numFmtId="0" fontId="15" fillId="0" borderId="0" xfId="3" applyFont="1" applyAlignment="1">
      <alignment wrapText="1"/>
    </xf>
    <xf numFmtId="3" fontId="32" fillId="0" borderId="30" xfId="3" applyNumberFormat="1" applyFont="1" applyFill="1" applyBorder="1" applyAlignment="1" applyProtection="1">
      <alignment horizontal="center" vertical="center" shrinkToFit="1"/>
    </xf>
    <xf numFmtId="4" fontId="12" fillId="2" borderId="21" xfId="3" applyNumberFormat="1" applyFont="1" applyFill="1" applyBorder="1" applyAlignment="1" applyProtection="1">
      <alignment horizontal="center" vertical="center" wrapText="1"/>
    </xf>
    <xf numFmtId="3" fontId="5" fillId="9" borderId="30" xfId="3" applyNumberFormat="1" applyFont="1" applyFill="1" applyBorder="1" applyAlignment="1" applyProtection="1">
      <alignment horizontal="center" vertical="center" shrinkToFit="1"/>
    </xf>
    <xf numFmtId="4" fontId="12" fillId="2" borderId="21" xfId="3" applyNumberFormat="1" applyFont="1" applyFill="1" applyBorder="1" applyAlignment="1" applyProtection="1">
      <alignment horizontal="center" vertical="center" wrapText="1"/>
    </xf>
    <xf numFmtId="0" fontId="14" fillId="9" borderId="31" xfId="3" applyFont="1" applyFill="1" applyBorder="1" applyAlignment="1" applyProtection="1">
      <alignment horizontal="center" vertical="center" shrinkToFit="1"/>
    </xf>
    <xf numFmtId="0" fontId="5" fillId="0" borderId="31" xfId="3" applyNumberFormat="1" applyFont="1" applyFill="1" applyBorder="1" applyAlignment="1" applyProtection="1">
      <alignment horizontal="center" vertical="center"/>
    </xf>
    <xf numFmtId="0" fontId="11" fillId="9" borderId="30" xfId="3" applyNumberFormat="1" applyFont="1" applyFill="1" applyBorder="1" applyAlignment="1" applyProtection="1">
      <alignment horizontal="center" vertical="center" shrinkToFit="1"/>
    </xf>
    <xf numFmtId="0" fontId="37" fillId="0" borderId="31" xfId="0" applyFont="1" applyFill="1" applyBorder="1" applyAlignment="1" applyProtection="1">
      <alignment vertical="center"/>
    </xf>
    <xf numFmtId="0" fontId="37" fillId="0" borderId="30" xfId="0" applyFont="1" applyFill="1" applyBorder="1" applyAlignment="1" applyProtection="1">
      <alignment vertical="center"/>
    </xf>
    <xf numFmtId="0" fontId="5" fillId="0" borderId="39" xfId="3" applyBorder="1" applyAlignment="1" applyProtection="1">
      <alignment shrinkToFit="1"/>
    </xf>
    <xf numFmtId="4" fontId="4" fillId="0" borderId="45" xfId="3" applyNumberFormat="1" applyFont="1" applyBorder="1" applyAlignment="1" applyProtection="1">
      <alignment shrinkToFit="1"/>
    </xf>
    <xf numFmtId="0" fontId="5" fillId="0" borderId="50" xfId="3" applyFont="1" applyFill="1" applyBorder="1" applyAlignment="1" applyProtection="1">
      <alignment horizontal="left" vertical="center" shrinkToFit="1"/>
    </xf>
    <xf numFmtId="3" fontId="5" fillId="9" borderId="50" xfId="3" applyNumberFormat="1" applyFont="1" applyFill="1" applyBorder="1" applyAlignment="1" applyProtection="1">
      <alignment horizontal="center" vertical="center" shrinkToFit="1"/>
    </xf>
    <xf numFmtId="0" fontId="11" fillId="9" borderId="50" xfId="3" applyNumberFormat="1" applyFont="1" applyFill="1" applyBorder="1" applyAlignment="1" applyProtection="1">
      <alignment horizontal="center" vertical="center" shrinkToFit="1"/>
    </xf>
    <xf numFmtId="0" fontId="5" fillId="0" borderId="50" xfId="3" applyFont="1" applyFill="1" applyBorder="1" applyAlignment="1" applyProtection="1">
      <alignment horizontal="center" vertical="center" shrinkToFit="1"/>
    </xf>
    <xf numFmtId="4" fontId="5" fillId="0" borderId="50" xfId="3" applyNumberFormat="1" applyFont="1" applyFill="1" applyBorder="1" applyAlignment="1" applyProtection="1">
      <alignment horizontal="center" vertical="center" shrinkToFit="1"/>
    </xf>
    <xf numFmtId="0" fontId="23" fillId="0" borderId="50" xfId="3" applyNumberFormat="1" applyFont="1" applyFill="1" applyBorder="1" applyAlignment="1" applyProtection="1">
      <alignment horizontal="center" vertical="center" shrinkToFit="1"/>
    </xf>
    <xf numFmtId="1" fontId="23" fillId="0" borderId="50" xfId="3" applyNumberFormat="1" applyFont="1" applyFill="1" applyBorder="1" applyAlignment="1" applyProtection="1">
      <alignment horizontal="center" vertical="center" shrinkToFit="1"/>
    </xf>
    <xf numFmtId="0" fontId="37" fillId="0" borderId="50" xfId="0" applyFont="1" applyFill="1" applyBorder="1" applyAlignment="1" applyProtection="1">
      <alignment vertical="center"/>
    </xf>
    <xf numFmtId="4" fontId="5" fillId="0" borderId="46" xfId="3" applyNumberFormat="1" applyFont="1" applyFill="1" applyBorder="1" applyAlignment="1" applyProtection="1">
      <alignment vertical="center" shrinkToFit="1"/>
    </xf>
    <xf numFmtId="0" fontId="14" fillId="0" borderId="50" xfId="3" applyFont="1" applyFill="1" applyBorder="1" applyAlignment="1" applyProtection="1">
      <alignment horizontal="center" vertical="center" shrinkToFit="1"/>
    </xf>
    <xf numFmtId="4" fontId="5" fillId="0" borderId="48" xfId="3" applyNumberFormat="1" applyFont="1" applyFill="1" applyBorder="1" applyAlignment="1" applyProtection="1">
      <alignment vertical="center" shrinkToFit="1"/>
    </xf>
    <xf numFmtId="0" fontId="14" fillId="9" borderId="30" xfId="3" applyFont="1" applyFill="1" applyBorder="1" applyAlignment="1" applyProtection="1">
      <alignment horizontal="center" vertical="center" shrinkToFit="1"/>
    </xf>
    <xf numFmtId="0" fontId="18" fillId="0" borderId="30" xfId="0" applyFont="1" applyFill="1" applyBorder="1" applyAlignment="1">
      <alignment horizontal="left" indent="1"/>
    </xf>
    <xf numFmtId="2" fontId="18" fillId="0" borderId="30" xfId="0" applyNumberFormat="1" applyFont="1" applyFill="1" applyBorder="1" applyAlignment="1">
      <alignment horizontal="right" vertical="center"/>
    </xf>
    <xf numFmtId="4" fontId="5" fillId="0" borderId="49" xfId="3" applyNumberFormat="1" applyFont="1" applyFill="1" applyBorder="1" applyAlignment="1" applyProtection="1">
      <alignment vertical="center" shrinkToFit="1"/>
    </xf>
    <xf numFmtId="0" fontId="14" fillId="9" borderId="50" xfId="3" applyFont="1" applyFill="1" applyBorder="1" applyAlignment="1" applyProtection="1">
      <alignment horizontal="center" vertical="center" shrinkToFit="1"/>
    </xf>
    <xf numFmtId="0" fontId="5" fillId="0" borderId="50" xfId="3" applyNumberFormat="1" applyFont="1" applyFill="1" applyBorder="1" applyAlignment="1" applyProtection="1">
      <alignment horizontal="center" vertical="center"/>
    </xf>
    <xf numFmtId="0" fontId="18" fillId="0" borderId="50" xfId="0" applyFont="1" applyFill="1" applyBorder="1" applyAlignment="1">
      <alignment horizontal="left" indent="1"/>
    </xf>
    <xf numFmtId="2" fontId="18" fillId="0" borderId="50" xfId="0" applyNumberFormat="1" applyFont="1" applyFill="1" applyBorder="1" applyAlignment="1">
      <alignment horizontal="right" vertical="center"/>
    </xf>
    <xf numFmtId="0" fontId="34" fillId="0" borderId="30" xfId="0" applyFont="1" applyFill="1" applyBorder="1" applyAlignment="1">
      <alignment horizontal="left" indent="1"/>
    </xf>
    <xf numFmtId="2" fontId="34" fillId="0" borderId="30" xfId="0" applyNumberFormat="1" applyFont="1" applyFill="1" applyBorder="1" applyAlignment="1">
      <alignment horizontal="right" vertical="center"/>
    </xf>
    <xf numFmtId="0" fontId="5" fillId="5" borderId="53" xfId="3" applyFill="1" applyBorder="1" applyAlignment="1" applyProtection="1">
      <alignment shrinkToFit="1"/>
    </xf>
    <xf numFmtId="0" fontId="5" fillId="5" borderId="5" xfId="3" applyFill="1" applyBorder="1" applyAlignment="1" applyProtection="1">
      <alignment shrinkToFit="1"/>
    </xf>
    <xf numFmtId="2" fontId="5" fillId="5" borderId="5" xfId="3" applyNumberFormat="1" applyFill="1" applyBorder="1" applyAlignment="1" applyProtection="1">
      <alignment shrinkToFit="1"/>
    </xf>
    <xf numFmtId="2" fontId="5" fillId="5" borderId="41" xfId="3" applyNumberFormat="1" applyFill="1" applyBorder="1" applyAlignment="1" applyProtection="1">
      <alignment shrinkToFit="1"/>
    </xf>
    <xf numFmtId="0" fontId="18" fillId="0" borderId="31" xfId="0" applyFont="1" applyFill="1" applyBorder="1" applyAlignment="1">
      <alignment horizontal="left" indent="1"/>
    </xf>
    <xf numFmtId="3" fontId="5" fillId="9" borderId="31" xfId="3" applyNumberFormat="1" applyFont="1" applyFill="1" applyBorder="1" applyAlignment="1" applyProtection="1">
      <alignment horizontal="center" vertical="center" shrinkToFit="1"/>
    </xf>
    <xf numFmtId="2" fontId="18" fillId="0" borderId="31" xfId="0" applyNumberFormat="1" applyFont="1" applyFill="1" applyBorder="1" applyAlignment="1">
      <alignment horizontal="right" vertical="center"/>
    </xf>
    <xf numFmtId="0" fontId="11" fillId="9" borderId="31" xfId="3" applyNumberFormat="1" applyFont="1" applyFill="1" applyBorder="1" applyAlignment="1" applyProtection="1">
      <alignment horizontal="center" vertical="center" shrinkToFit="1"/>
    </xf>
    <xf numFmtId="2" fontId="5" fillId="0" borderId="19" xfId="2" applyNumberFormat="1" applyFont="1" applyFill="1" applyBorder="1" applyAlignment="1" applyProtection="1">
      <alignment horizontal="left" vertical="center" wrapText="1" indent="1"/>
    </xf>
    <xf numFmtId="2" fontId="5" fillId="0" borderId="14" xfId="3" applyNumberFormat="1" applyFont="1" applyBorder="1" applyAlignment="1" applyProtection="1">
      <alignment horizontal="right" vertical="center"/>
    </xf>
    <xf numFmtId="2" fontId="5" fillId="0" borderId="20" xfId="2" applyNumberFormat="1" applyFont="1" applyFill="1" applyBorder="1" applyAlignment="1" applyProtection="1">
      <alignment horizontal="left" vertical="center" wrapText="1" indent="1"/>
    </xf>
    <xf numFmtId="2" fontId="5" fillId="0" borderId="20" xfId="2" applyNumberFormat="1" applyFont="1" applyBorder="1" applyAlignment="1" applyProtection="1">
      <alignment horizontal="left" vertical="center" wrapText="1" indent="1"/>
    </xf>
    <xf numFmtId="2" fontId="5" fillId="0" borderId="54" xfId="2" applyNumberFormat="1" applyFont="1" applyFill="1" applyBorder="1" applyAlignment="1" applyProtection="1">
      <alignment horizontal="left" vertical="center" wrapText="1" indent="1"/>
    </xf>
    <xf numFmtId="2" fontId="5" fillId="0" borderId="21" xfId="2" applyNumberFormat="1" applyFont="1" applyBorder="1" applyAlignment="1" applyProtection="1">
      <alignment horizontal="left" vertical="center" wrapText="1" indent="1"/>
    </xf>
    <xf numFmtId="4" fontId="12" fillId="0" borderId="25" xfId="3" applyNumberFormat="1" applyFont="1" applyFill="1" applyBorder="1" applyAlignment="1" applyProtection="1">
      <alignment horizontal="center" vertical="center" shrinkToFit="1"/>
    </xf>
    <xf numFmtId="169" fontId="12" fillId="0" borderId="26" xfId="3" applyNumberFormat="1" applyFont="1" applyFill="1" applyBorder="1" applyAlignment="1" applyProtection="1">
      <alignment horizontal="center" vertical="center" shrinkToFit="1"/>
    </xf>
    <xf numFmtId="4" fontId="12" fillId="0" borderId="26" xfId="3" applyNumberFormat="1" applyFont="1" applyFill="1" applyBorder="1" applyAlignment="1" applyProtection="1">
      <alignment horizontal="center" vertical="center" shrinkToFit="1"/>
    </xf>
    <xf numFmtId="166" fontId="12" fillId="0" borderId="26" xfId="3" applyNumberFormat="1" applyFont="1" applyFill="1" applyBorder="1" applyAlignment="1" applyProtection="1">
      <alignment horizontal="center" vertical="center" shrinkToFit="1"/>
    </xf>
    <xf numFmtId="4" fontId="38" fillId="0" borderId="26" xfId="3" applyNumberFormat="1" applyFont="1" applyFill="1" applyBorder="1" applyAlignment="1" applyProtection="1">
      <alignment horizontal="center" vertical="center" shrinkToFit="1"/>
    </xf>
    <xf numFmtId="4" fontId="4" fillId="0" borderId="27" xfId="3" applyNumberFormat="1" applyFont="1" applyBorder="1" applyAlignment="1" applyProtection="1">
      <alignment shrinkToFit="1"/>
    </xf>
    <xf numFmtId="4" fontId="12" fillId="5" borderId="28" xfId="3" applyNumberFormat="1" applyFont="1" applyFill="1" applyBorder="1" applyAlignment="1" applyProtection="1">
      <alignment horizontal="center" vertical="center" shrinkToFit="1"/>
    </xf>
    <xf numFmtId="169" fontId="12" fillId="5" borderId="0" xfId="3" applyNumberFormat="1" applyFont="1" applyFill="1" applyBorder="1" applyAlignment="1" applyProtection="1">
      <alignment horizontal="center" vertical="center" shrinkToFit="1"/>
    </xf>
    <xf numFmtId="4" fontId="12" fillId="5" borderId="0" xfId="3" applyNumberFormat="1" applyFont="1" applyFill="1" applyBorder="1" applyAlignment="1" applyProtection="1">
      <alignment horizontal="center" vertical="center" shrinkToFit="1"/>
    </xf>
    <xf numFmtId="166" fontId="12" fillId="5" borderId="0" xfId="3" applyNumberFormat="1" applyFont="1" applyFill="1" applyBorder="1" applyAlignment="1" applyProtection="1">
      <alignment horizontal="center" vertical="center" shrinkToFit="1"/>
    </xf>
    <xf numFmtId="4" fontId="38" fillId="5" borderId="0" xfId="3" applyNumberFormat="1" applyFont="1" applyFill="1" applyBorder="1" applyAlignment="1" applyProtection="1">
      <alignment horizontal="center" vertical="center" shrinkToFit="1"/>
    </xf>
    <xf numFmtId="166" fontId="12" fillId="5" borderId="15" xfId="3" applyNumberFormat="1" applyFont="1" applyFill="1" applyBorder="1" applyAlignment="1" applyProtection="1">
      <alignment horizontal="center" vertical="center" shrinkToFit="1"/>
    </xf>
    <xf numFmtId="4" fontId="39" fillId="0" borderId="55" xfId="3" applyNumberFormat="1" applyFont="1" applyFill="1" applyBorder="1" applyAlignment="1" applyProtection="1">
      <alignment vertical="center" shrinkToFit="1"/>
    </xf>
    <xf numFmtId="0" fontId="39" fillId="0" borderId="31" xfId="3" applyNumberFormat="1" applyFont="1" applyFill="1" applyBorder="1" applyAlignment="1" applyProtection="1">
      <alignment horizontal="center" vertical="center"/>
    </xf>
    <xf numFmtId="4" fontId="39" fillId="0" borderId="30" xfId="3" applyNumberFormat="1" applyFont="1" applyFill="1" applyBorder="1" applyAlignment="1" applyProtection="1">
      <alignment horizontal="right" vertical="center" shrinkToFit="1"/>
    </xf>
    <xf numFmtId="4" fontId="39" fillId="0" borderId="56" xfId="3" applyNumberFormat="1" applyFont="1" applyFill="1" applyBorder="1" applyAlignment="1" applyProtection="1">
      <alignment horizontal="right" vertical="center" shrinkToFit="1"/>
    </xf>
    <xf numFmtId="0" fontId="40" fillId="0" borderId="30" xfId="3" applyFont="1" applyFill="1" applyBorder="1" applyAlignment="1" applyProtection="1">
      <alignment horizontal="center" vertical="center" shrinkToFit="1"/>
    </xf>
    <xf numFmtId="3" fontId="5" fillId="0" borderId="30" xfId="3" applyNumberFormat="1" applyFont="1" applyFill="1" applyBorder="1" applyAlignment="1" applyProtection="1">
      <alignment horizontal="center" vertical="center" shrinkToFit="1"/>
    </xf>
    <xf numFmtId="166" fontId="0" fillId="0" borderId="30" xfId="0" applyNumberFormat="1" applyBorder="1" applyProtection="1"/>
    <xf numFmtId="2" fontId="5" fillId="0" borderId="30" xfId="3" applyNumberFormat="1" applyFont="1" applyFill="1" applyBorder="1" applyAlignment="1" applyProtection="1">
      <alignment horizontal="right" vertical="center" shrinkToFit="1"/>
    </xf>
    <xf numFmtId="4" fontId="11" fillId="0" borderId="30" xfId="3" applyNumberFormat="1" applyFont="1" applyFill="1" applyBorder="1" applyAlignment="1" applyProtection="1">
      <alignment horizontal="center" vertical="center" shrinkToFit="1"/>
    </xf>
    <xf numFmtId="4" fontId="12" fillId="2" borderId="21" xfId="3" applyNumberFormat="1" applyFont="1" applyFill="1" applyBorder="1" applyAlignment="1" applyProtection="1">
      <alignment horizontal="center" vertical="center" wrapText="1"/>
    </xf>
    <xf numFmtId="0" fontId="40" fillId="0" borderId="31" xfId="3" applyFont="1" applyFill="1" applyBorder="1" applyAlignment="1" applyProtection="1">
      <alignment horizontal="center" vertical="center" shrinkToFit="1"/>
    </xf>
    <xf numFmtId="3" fontId="5" fillId="0" borderId="31" xfId="3" applyNumberFormat="1" applyFont="1" applyFill="1" applyBorder="1" applyAlignment="1" applyProtection="1">
      <alignment horizontal="center" vertical="center" shrinkToFit="1"/>
    </xf>
    <xf numFmtId="4" fontId="5" fillId="0" borderId="31" xfId="3" applyNumberFormat="1" applyFont="1" applyFill="1" applyBorder="1" applyAlignment="1" applyProtection="1">
      <alignment horizontal="left" vertical="center" shrinkToFit="1"/>
    </xf>
    <xf numFmtId="4" fontId="5" fillId="0" borderId="31" xfId="3" applyNumberFormat="1" applyFont="1" applyFill="1" applyBorder="1" applyAlignment="1" applyProtection="1">
      <alignment horizontal="right" vertical="center" shrinkToFit="1"/>
    </xf>
    <xf numFmtId="0" fontId="11" fillId="0" borderId="31" xfId="3" applyNumberFormat="1" applyFont="1" applyFill="1" applyBorder="1" applyAlignment="1" applyProtection="1">
      <alignment horizontal="center" vertical="center" shrinkToFit="1"/>
    </xf>
    <xf numFmtId="166" fontId="0" fillId="0" borderId="31" xfId="0" applyNumberFormat="1" applyBorder="1" applyProtection="1"/>
    <xf numFmtId="4" fontId="5" fillId="0" borderId="30" xfId="3" applyNumberFormat="1" applyFont="1" applyFill="1" applyBorder="1" applyAlignment="1" applyProtection="1">
      <alignment horizontal="left" vertical="center" shrinkToFit="1"/>
    </xf>
    <xf numFmtId="4" fontId="5" fillId="0" borderId="30" xfId="3" applyNumberFormat="1" applyFont="1" applyFill="1" applyBorder="1" applyAlignment="1" applyProtection="1">
      <alignment horizontal="right" vertical="center" shrinkToFit="1"/>
    </xf>
    <xf numFmtId="0" fontId="11" fillId="0" borderId="30" xfId="3" applyNumberFormat="1" applyFont="1" applyFill="1" applyBorder="1" applyAlignment="1" applyProtection="1">
      <alignment horizontal="center" vertical="center" shrinkToFit="1"/>
    </xf>
    <xf numFmtId="4" fontId="39" fillId="0" borderId="57" xfId="3" applyNumberFormat="1" applyFont="1" applyFill="1" applyBorder="1" applyAlignment="1" applyProtection="1">
      <alignment vertical="center" shrinkToFit="1"/>
    </xf>
    <xf numFmtId="0" fontId="40" fillId="0" borderId="58" xfId="3" applyFont="1" applyFill="1" applyBorder="1" applyAlignment="1" applyProtection="1">
      <alignment horizontal="center" vertical="center" shrinkToFit="1"/>
    </xf>
    <xf numFmtId="0" fontId="5" fillId="0" borderId="58" xfId="3" applyFont="1" applyFill="1" applyBorder="1" applyAlignment="1" applyProtection="1">
      <alignment horizontal="center" vertical="center" shrinkToFit="1"/>
    </xf>
    <xf numFmtId="4" fontId="5" fillId="0" borderId="58" xfId="3" applyNumberFormat="1" applyFont="1" applyFill="1" applyBorder="1" applyAlignment="1" applyProtection="1">
      <alignment horizontal="left" vertical="center" shrinkToFit="1"/>
    </xf>
    <xf numFmtId="0" fontId="5" fillId="0" borderId="58" xfId="3" applyFont="1" applyFill="1" applyBorder="1" applyAlignment="1" applyProtection="1">
      <alignment horizontal="left" vertical="center" shrinkToFit="1"/>
    </xf>
    <xf numFmtId="3" fontId="5" fillId="0" borderId="58" xfId="3" applyNumberFormat="1" applyFont="1" applyFill="1" applyBorder="1" applyAlignment="1" applyProtection="1">
      <alignment horizontal="center" vertical="center" shrinkToFit="1"/>
    </xf>
    <xf numFmtId="2" fontId="5" fillId="0" borderId="58" xfId="3" applyNumberFormat="1" applyFont="1" applyFill="1" applyBorder="1" applyAlignment="1" applyProtection="1">
      <alignment horizontal="right" vertical="center" shrinkToFit="1"/>
    </xf>
    <xf numFmtId="0" fontId="11" fillId="0" borderId="58" xfId="3" applyNumberFormat="1" applyFont="1" applyFill="1" applyBorder="1" applyAlignment="1" applyProtection="1">
      <alignment horizontal="center" vertical="center" shrinkToFit="1"/>
    </xf>
    <xf numFmtId="4" fontId="5" fillId="0" borderId="58" xfId="3" applyNumberFormat="1" applyFont="1" applyFill="1" applyBorder="1" applyAlignment="1" applyProtection="1">
      <alignment horizontal="center" vertical="center" shrinkToFit="1"/>
    </xf>
    <xf numFmtId="0" fontId="23" fillId="0" borderId="58" xfId="3" applyNumberFormat="1" applyFont="1" applyFill="1" applyBorder="1" applyAlignment="1" applyProtection="1">
      <alignment horizontal="center" vertical="center" shrinkToFit="1"/>
    </xf>
    <xf numFmtId="1" fontId="23" fillId="0" borderId="58" xfId="3" applyNumberFormat="1" applyFont="1" applyFill="1" applyBorder="1" applyAlignment="1" applyProtection="1">
      <alignment horizontal="center" vertical="center" shrinkToFit="1"/>
    </xf>
    <xf numFmtId="166" fontId="0" fillId="0" borderId="58" xfId="0" applyNumberFormat="1" applyBorder="1" applyProtection="1"/>
    <xf numFmtId="4" fontId="39" fillId="0" borderId="58" xfId="3" applyNumberFormat="1" applyFont="1" applyFill="1" applyBorder="1" applyAlignment="1" applyProtection="1">
      <alignment horizontal="right" vertical="center" shrinkToFit="1"/>
    </xf>
    <xf numFmtId="4" fontId="39" fillId="0" borderId="59" xfId="3" applyNumberFormat="1" applyFont="1" applyFill="1" applyBorder="1" applyAlignment="1" applyProtection="1">
      <alignment horizontal="right" vertical="center" shrinkToFit="1"/>
    </xf>
    <xf numFmtId="4" fontId="39" fillId="0" borderId="60" xfId="3" applyNumberFormat="1" applyFont="1" applyFill="1" applyBorder="1" applyAlignment="1" applyProtection="1">
      <alignment vertical="center" shrinkToFit="1"/>
    </xf>
    <xf numFmtId="2" fontId="5" fillId="0" borderId="31" xfId="3" applyNumberFormat="1" applyFont="1" applyFill="1" applyBorder="1" applyAlignment="1" applyProtection="1">
      <alignment horizontal="right" vertical="center" shrinkToFit="1"/>
    </xf>
    <xf numFmtId="4" fontId="39" fillId="0" borderId="31" xfId="3" applyNumberFormat="1" applyFont="1" applyFill="1" applyBorder="1" applyAlignment="1" applyProtection="1">
      <alignment horizontal="right" vertical="center" shrinkToFit="1"/>
    </xf>
    <xf numFmtId="4" fontId="39" fillId="0" borderId="61" xfId="3" applyNumberFormat="1" applyFont="1" applyFill="1" applyBorder="1" applyAlignment="1" applyProtection="1">
      <alignment horizontal="right" vertical="center" shrinkToFit="1"/>
    </xf>
    <xf numFmtId="4" fontId="11" fillId="0" borderId="58" xfId="3" applyNumberFormat="1" applyFont="1" applyFill="1" applyBorder="1" applyAlignment="1" applyProtection="1">
      <alignment horizontal="center" vertical="center" shrinkToFit="1"/>
    </xf>
    <xf numFmtId="0" fontId="5" fillId="0" borderId="0" xfId="3" applyFill="1"/>
    <xf numFmtId="0" fontId="5" fillId="5" borderId="0" xfId="3" applyFill="1" applyBorder="1" applyAlignment="1" applyProtection="1">
      <alignment shrinkToFit="1"/>
    </xf>
    <xf numFmtId="2" fontId="5" fillId="5" borderId="0" xfId="3" applyNumberFormat="1" applyFill="1" applyBorder="1" applyAlignment="1" applyProtection="1">
      <alignment shrinkToFit="1"/>
    </xf>
    <xf numFmtId="4" fontId="44" fillId="0" borderId="60" xfId="3" applyNumberFormat="1" applyFont="1" applyFill="1" applyBorder="1" applyAlignment="1" applyProtection="1">
      <alignment vertical="center" shrinkToFit="1"/>
    </xf>
    <xf numFmtId="170" fontId="44" fillId="0" borderId="31" xfId="3" applyNumberFormat="1" applyFont="1" applyFill="1" applyBorder="1" applyAlignment="1" applyProtection="1">
      <alignment horizontal="center" vertical="center" shrinkToFit="1"/>
    </xf>
    <xf numFmtId="3" fontId="44" fillId="0" borderId="31" xfId="3" applyNumberFormat="1" applyFont="1" applyFill="1" applyBorder="1" applyAlignment="1" applyProtection="1">
      <alignment horizontal="center" vertical="center" shrinkToFit="1"/>
    </xf>
    <xf numFmtId="4" fontId="11" fillId="0" borderId="31" xfId="3" applyNumberFormat="1" applyFont="1" applyFill="1" applyBorder="1" applyAlignment="1" applyProtection="1">
      <alignment horizontal="left" vertical="center" shrinkToFit="1"/>
    </xf>
    <xf numFmtId="4" fontId="11" fillId="0" borderId="31" xfId="3" applyNumberFormat="1" applyFont="1" applyFill="1" applyBorder="1" applyAlignment="1" applyProtection="1">
      <alignment vertical="center" shrinkToFit="1"/>
    </xf>
    <xf numFmtId="0" fontId="11" fillId="0" borderId="31" xfId="3" applyFont="1" applyFill="1" applyBorder="1" applyAlignment="1" applyProtection="1">
      <alignment horizontal="left" vertical="center" shrinkToFit="1"/>
    </xf>
    <xf numFmtId="4" fontId="11" fillId="0" borderId="31" xfId="3" applyNumberFormat="1" applyFont="1" applyFill="1" applyBorder="1" applyAlignment="1" applyProtection="1">
      <alignment horizontal="center" vertical="center" shrinkToFit="1"/>
    </xf>
    <xf numFmtId="4" fontId="11" fillId="0" borderId="31" xfId="3" applyNumberFormat="1" applyFont="1" applyFill="1" applyBorder="1" applyAlignment="1" applyProtection="1">
      <alignment horizontal="right" vertical="center" shrinkToFit="1"/>
    </xf>
    <xf numFmtId="0" fontId="45" fillId="10" borderId="31" xfId="3" applyFont="1" applyFill="1" applyBorder="1" applyAlignment="1" applyProtection="1">
      <alignment horizontal="center" shrinkToFit="1"/>
    </xf>
    <xf numFmtId="0" fontId="22" fillId="0" borderId="31" xfId="0" applyFont="1" applyBorder="1" applyProtection="1"/>
    <xf numFmtId="4" fontId="44" fillId="0" borderId="56" xfId="3" applyNumberFormat="1" applyFont="1" applyFill="1" applyBorder="1" applyAlignment="1" applyProtection="1">
      <alignment horizontal="right" vertical="center" shrinkToFit="1"/>
    </xf>
    <xf numFmtId="4" fontId="44" fillId="0" borderId="55" xfId="3" applyNumberFormat="1" applyFont="1" applyFill="1" applyBorder="1" applyAlignment="1" applyProtection="1">
      <alignment vertical="center" shrinkToFit="1"/>
    </xf>
    <xf numFmtId="170" fontId="44" fillId="0" borderId="30" xfId="3" applyNumberFormat="1" applyFont="1" applyFill="1" applyBorder="1" applyAlignment="1" applyProtection="1">
      <alignment horizontal="center" vertical="center" shrinkToFit="1"/>
    </xf>
    <xf numFmtId="3" fontId="44" fillId="0" borderId="30" xfId="3" applyNumberFormat="1" applyFont="1" applyFill="1" applyBorder="1" applyAlignment="1" applyProtection="1">
      <alignment horizontal="center" vertical="center" shrinkToFit="1"/>
    </xf>
    <xf numFmtId="4" fontId="11" fillId="0" borderId="30" xfId="3" applyNumberFormat="1" applyFont="1" applyFill="1" applyBorder="1" applyAlignment="1" applyProtection="1">
      <alignment horizontal="left" vertical="center" shrinkToFit="1"/>
    </xf>
    <xf numFmtId="4" fontId="11" fillId="0" borderId="30" xfId="3" applyNumberFormat="1" applyFont="1" applyFill="1" applyBorder="1" applyAlignment="1" applyProtection="1">
      <alignment vertical="center" shrinkToFit="1"/>
    </xf>
    <xf numFmtId="4" fontId="11" fillId="0" borderId="30" xfId="3" applyNumberFormat="1" applyFont="1" applyFill="1" applyBorder="1" applyAlignment="1" applyProtection="1">
      <alignment horizontal="right" vertical="center" shrinkToFit="1"/>
    </xf>
    <xf numFmtId="0" fontId="45" fillId="10" borderId="30" xfId="3" applyFont="1" applyFill="1" applyBorder="1" applyAlignment="1" applyProtection="1">
      <alignment horizontal="center" shrinkToFit="1"/>
    </xf>
    <xf numFmtId="0" fontId="22" fillId="0" borderId="30" xfId="0" applyFont="1" applyBorder="1" applyProtection="1"/>
    <xf numFmtId="0" fontId="11" fillId="0" borderId="30" xfId="3" applyFont="1" applyFill="1" applyBorder="1" applyAlignment="1" applyProtection="1">
      <alignment horizontal="center" vertical="center" shrinkToFit="1"/>
    </xf>
    <xf numFmtId="4" fontId="44" fillId="0" borderId="30" xfId="3" applyNumberFormat="1" applyFont="1" applyFill="1" applyBorder="1" applyAlignment="1" applyProtection="1">
      <alignment horizontal="left" vertical="center" shrinkToFit="1"/>
    </xf>
    <xf numFmtId="4" fontId="44" fillId="0" borderId="30" xfId="3" applyNumberFormat="1" applyFont="1" applyFill="1" applyBorder="1" applyAlignment="1" applyProtection="1">
      <alignment vertical="center" shrinkToFit="1"/>
    </xf>
    <xf numFmtId="4" fontId="44" fillId="0" borderId="57" xfId="3" applyNumberFormat="1" applyFont="1" applyFill="1" applyBorder="1" applyAlignment="1" applyProtection="1">
      <alignment vertical="center" shrinkToFit="1"/>
    </xf>
    <xf numFmtId="170" fontId="44" fillId="0" borderId="58" xfId="3" applyNumberFormat="1" applyFont="1" applyFill="1" applyBorder="1" applyAlignment="1" applyProtection="1">
      <alignment horizontal="center" vertical="center" shrinkToFit="1"/>
    </xf>
    <xf numFmtId="3" fontId="44" fillId="0" borderId="58" xfId="3" applyNumberFormat="1" applyFont="1" applyFill="1" applyBorder="1" applyAlignment="1" applyProtection="1">
      <alignment horizontal="center" vertical="center" shrinkToFit="1"/>
    </xf>
    <xf numFmtId="4" fontId="44" fillId="0" borderId="58" xfId="3" applyNumberFormat="1" applyFont="1" applyFill="1" applyBorder="1" applyAlignment="1" applyProtection="1">
      <alignment horizontal="left" vertical="center" shrinkToFit="1"/>
    </xf>
    <xf numFmtId="4" fontId="44" fillId="0" borderId="58" xfId="3" applyNumberFormat="1" applyFont="1" applyFill="1" applyBorder="1" applyAlignment="1" applyProtection="1">
      <alignment vertical="center" shrinkToFit="1"/>
    </xf>
    <xf numFmtId="0" fontId="11" fillId="0" borderId="58" xfId="3" applyFont="1" applyFill="1" applyBorder="1" applyAlignment="1" applyProtection="1">
      <alignment horizontal="left" vertical="center" shrinkToFit="1"/>
    </xf>
    <xf numFmtId="4" fontId="11" fillId="0" borderId="58" xfId="3" applyNumberFormat="1" applyFont="1" applyFill="1" applyBorder="1" applyAlignment="1" applyProtection="1">
      <alignment horizontal="right" vertical="center" shrinkToFit="1"/>
    </xf>
    <xf numFmtId="0" fontId="45" fillId="10" borderId="58" xfId="3" applyFont="1" applyFill="1" applyBorder="1" applyAlignment="1" applyProtection="1">
      <alignment horizontal="center" shrinkToFit="1"/>
    </xf>
    <xf numFmtId="0" fontId="22" fillId="0" borderId="58" xfId="0" applyFont="1" applyBorder="1" applyProtection="1"/>
    <xf numFmtId="4" fontId="44" fillId="0" borderId="59" xfId="3" applyNumberFormat="1" applyFont="1" applyFill="1" applyBorder="1" applyAlignment="1" applyProtection="1">
      <alignment horizontal="right" vertical="center" shrinkToFit="1"/>
    </xf>
    <xf numFmtId="0" fontId="35" fillId="0" borderId="30" xfId="3" applyNumberFormat="1" applyFont="1" applyFill="1" applyBorder="1" applyAlignment="1" applyProtection="1">
      <alignment horizontal="center" vertical="center" shrinkToFit="1"/>
    </xf>
    <xf numFmtId="0" fontId="39" fillId="0" borderId="58" xfId="3" applyNumberFormat="1" applyFont="1" applyFill="1" applyBorder="1" applyAlignment="1" applyProtection="1">
      <alignment horizontal="center" vertical="center"/>
    </xf>
    <xf numFmtId="0" fontId="4" fillId="4" borderId="0" xfId="3" applyFont="1" applyFill="1" applyProtection="1"/>
    <xf numFmtId="0" fontId="5" fillId="0" borderId="0" xfId="3" applyAlignment="1" applyProtection="1">
      <alignment horizontal="right"/>
    </xf>
    <xf numFmtId="0" fontId="5" fillId="0" borderId="25" xfId="3" applyBorder="1" applyAlignment="1" applyProtection="1">
      <alignment shrinkToFit="1"/>
    </xf>
    <xf numFmtId="0" fontId="5" fillId="0" borderId="26" xfId="3" applyBorder="1" applyAlignment="1" applyProtection="1">
      <alignment horizontal="right" shrinkToFit="1"/>
    </xf>
    <xf numFmtId="2" fontId="4" fillId="0" borderId="26" xfId="3" applyNumberFormat="1" applyFont="1" applyBorder="1" applyAlignment="1" applyProtection="1">
      <alignment shrinkToFit="1"/>
    </xf>
    <xf numFmtId="0" fontId="5" fillId="5" borderId="28" xfId="3" applyFill="1" applyBorder="1" applyAlignment="1" applyProtection="1">
      <alignment shrinkToFit="1"/>
    </xf>
    <xf numFmtId="0" fontId="5" fillId="5" borderId="0" xfId="3" applyFill="1" applyBorder="1" applyAlignment="1" applyProtection="1">
      <alignment horizontal="right" shrinkToFit="1"/>
    </xf>
    <xf numFmtId="2" fontId="5" fillId="5" borderId="15" xfId="3" applyNumberFormat="1" applyFill="1" applyBorder="1" applyAlignment="1" applyProtection="1">
      <alignment shrinkToFit="1"/>
    </xf>
    <xf numFmtId="4" fontId="7" fillId="0" borderId="60" xfId="3" applyNumberFormat="1" applyFont="1" applyFill="1" applyBorder="1" applyAlignment="1" applyProtection="1">
      <alignment vertical="center" shrinkToFit="1"/>
    </xf>
    <xf numFmtId="0" fontId="46" fillId="0" borderId="31" xfId="3" applyFont="1" applyFill="1" applyBorder="1" applyAlignment="1" applyProtection="1">
      <alignment horizontal="center" vertical="center" shrinkToFit="1"/>
    </xf>
    <xf numFmtId="0" fontId="7" fillId="0" borderId="31" xfId="3" applyFont="1" applyFill="1" applyBorder="1" applyAlignment="1" applyProtection="1">
      <alignment horizontal="center" vertical="center" shrinkToFit="1"/>
    </xf>
    <xf numFmtId="0" fontId="7" fillId="0" borderId="31" xfId="3" applyFont="1" applyFill="1" applyBorder="1" applyAlignment="1" applyProtection="1">
      <alignment horizontal="left" vertical="center" shrinkToFit="1"/>
    </xf>
    <xf numFmtId="0" fontId="7" fillId="0" borderId="31" xfId="3" applyNumberFormat="1" applyFont="1" applyFill="1" applyBorder="1" applyAlignment="1" applyProtection="1">
      <alignment horizontal="center" vertical="center" shrinkToFit="1"/>
    </xf>
    <xf numFmtId="2" fontId="7" fillId="0" borderId="31" xfId="3" applyNumberFormat="1" applyFont="1" applyFill="1" applyBorder="1" applyAlignment="1" applyProtection="1">
      <alignment horizontal="right" vertical="center" shrinkToFit="1"/>
    </xf>
    <xf numFmtId="0" fontId="47" fillId="0" borderId="31" xfId="3" applyNumberFormat="1" applyFont="1" applyFill="1" applyBorder="1" applyAlignment="1" applyProtection="1">
      <alignment horizontal="center" vertical="center" shrinkToFit="1"/>
    </xf>
    <xf numFmtId="4" fontId="7" fillId="0" borderId="31" xfId="3" applyNumberFormat="1" applyFont="1" applyFill="1" applyBorder="1" applyAlignment="1" applyProtection="1">
      <alignment horizontal="center" vertical="center" shrinkToFit="1"/>
    </xf>
    <xf numFmtId="4" fontId="7" fillId="0" borderId="30" xfId="3" applyNumberFormat="1" applyFont="1" applyFill="1" applyBorder="1" applyAlignment="1" applyProtection="1">
      <alignment horizontal="center" vertical="center" shrinkToFit="1"/>
    </xf>
    <xf numFmtId="0" fontId="48" fillId="0" borderId="30" xfId="3" applyNumberFormat="1" applyFont="1" applyFill="1" applyBorder="1" applyAlignment="1" applyProtection="1">
      <alignment horizontal="center" vertical="center" shrinkToFit="1"/>
    </xf>
    <xf numFmtId="1" fontId="48" fillId="0" borderId="30" xfId="3" applyNumberFormat="1" applyFont="1" applyFill="1" applyBorder="1" applyAlignment="1" applyProtection="1">
      <alignment horizontal="center" vertical="center" shrinkToFit="1"/>
    </xf>
    <xf numFmtId="166" fontId="41" fillId="0" borderId="30" xfId="0" applyNumberFormat="1" applyFont="1" applyBorder="1" applyProtection="1"/>
    <xf numFmtId="4" fontId="7" fillId="0" borderId="30" xfId="3" applyNumberFormat="1" applyFont="1" applyFill="1" applyBorder="1" applyAlignment="1" applyProtection="1">
      <alignment horizontal="right" vertical="center" shrinkToFit="1"/>
    </xf>
    <xf numFmtId="4" fontId="7" fillId="0" borderId="56" xfId="3" applyNumberFormat="1" applyFont="1" applyFill="1" applyBorder="1" applyAlignment="1" applyProtection="1">
      <alignment horizontal="right" vertical="center" shrinkToFit="1"/>
    </xf>
    <xf numFmtId="4" fontId="7" fillId="0" borderId="55" xfId="3" applyNumberFormat="1" applyFont="1" applyFill="1" applyBorder="1" applyAlignment="1" applyProtection="1">
      <alignment vertical="center" shrinkToFit="1"/>
    </xf>
    <xf numFmtId="0" fontId="46" fillId="0" borderId="30" xfId="3" applyFont="1" applyFill="1" applyBorder="1" applyAlignment="1" applyProtection="1">
      <alignment horizontal="center" vertical="center" shrinkToFit="1"/>
    </xf>
    <xf numFmtId="0" fontId="7" fillId="0" borderId="30" xfId="3" applyFont="1" applyFill="1" applyBorder="1" applyAlignment="1" applyProtection="1">
      <alignment horizontal="center" vertical="center" shrinkToFit="1"/>
    </xf>
    <xf numFmtId="4" fontId="7" fillId="0" borderId="30" xfId="3" applyNumberFormat="1" applyFont="1" applyFill="1" applyBorder="1" applyAlignment="1" applyProtection="1">
      <alignment horizontal="left" vertical="center" shrinkToFit="1"/>
    </xf>
    <xf numFmtId="0" fontId="7" fillId="0" borderId="30" xfId="3" applyFont="1" applyFill="1" applyBorder="1" applyAlignment="1" applyProtection="1">
      <alignment horizontal="right" vertical="center" shrinkToFit="1"/>
    </xf>
    <xf numFmtId="0" fontId="7" fillId="0" borderId="30" xfId="3" applyNumberFormat="1" applyFont="1" applyFill="1" applyBorder="1" applyAlignment="1" applyProtection="1">
      <alignment horizontal="center" vertical="center" shrinkToFit="1"/>
    </xf>
    <xf numFmtId="2" fontId="7" fillId="0" borderId="30" xfId="3" applyNumberFormat="1" applyFont="1" applyFill="1" applyBorder="1" applyAlignment="1" applyProtection="1">
      <alignment horizontal="right" vertical="center" shrinkToFit="1"/>
    </xf>
    <xf numFmtId="0" fontId="47" fillId="0" borderId="30" xfId="3" applyNumberFormat="1" applyFont="1" applyFill="1" applyBorder="1" applyAlignment="1" applyProtection="1">
      <alignment horizontal="center" vertical="center" shrinkToFit="1"/>
    </xf>
    <xf numFmtId="0" fontId="39" fillId="0" borderId="30" xfId="3" applyFont="1" applyFill="1" applyBorder="1" applyAlignment="1" applyProtection="1">
      <alignment horizontal="center" vertical="center" shrinkToFit="1"/>
    </xf>
    <xf numFmtId="4" fontId="39" fillId="0" borderId="30" xfId="3" applyNumberFormat="1" applyFont="1" applyFill="1" applyBorder="1" applyAlignment="1" applyProtection="1">
      <alignment horizontal="left" vertical="center" shrinkToFit="1"/>
    </xf>
    <xf numFmtId="0" fontId="5" fillId="0" borderId="30" xfId="3" applyFont="1" applyFill="1" applyBorder="1" applyAlignment="1" applyProtection="1">
      <alignment horizontal="right" vertical="center" shrinkToFit="1"/>
    </xf>
    <xf numFmtId="3" fontId="39" fillId="0" borderId="30" xfId="3" applyNumberFormat="1" applyFont="1" applyFill="1" applyBorder="1" applyAlignment="1" applyProtection="1">
      <alignment horizontal="center" vertical="center" shrinkToFit="1"/>
    </xf>
    <xf numFmtId="2" fontId="39" fillId="0" borderId="30" xfId="3" applyNumberFormat="1" applyFont="1" applyFill="1" applyBorder="1" applyAlignment="1" applyProtection="1">
      <alignment horizontal="right" vertical="center" shrinkToFit="1"/>
    </xf>
    <xf numFmtId="0" fontId="39" fillId="0" borderId="30" xfId="3" applyNumberFormat="1" applyFont="1" applyFill="1" applyBorder="1" applyAlignment="1" applyProtection="1">
      <alignment horizontal="center" vertical="center" shrinkToFit="1"/>
    </xf>
    <xf numFmtId="0" fontId="44" fillId="0" borderId="30" xfId="3" applyNumberFormat="1" applyFont="1" applyFill="1" applyBorder="1" applyAlignment="1" applyProtection="1">
      <alignment horizontal="center" vertical="center" shrinkToFit="1"/>
    </xf>
    <xf numFmtId="4" fontId="39" fillId="0" borderId="30" xfId="3" applyNumberFormat="1" applyFont="1" applyFill="1" applyBorder="1" applyAlignment="1" applyProtection="1">
      <alignment horizontal="center" vertical="center" shrinkToFit="1"/>
    </xf>
    <xf numFmtId="4" fontId="7" fillId="0" borderId="57" xfId="3" applyNumberFormat="1" applyFont="1" applyFill="1" applyBorder="1" applyAlignment="1" applyProtection="1">
      <alignment vertical="center" shrinkToFit="1"/>
    </xf>
    <xf numFmtId="0" fontId="46" fillId="0" borderId="58" xfId="3" applyFont="1" applyFill="1" applyBorder="1" applyAlignment="1" applyProtection="1">
      <alignment horizontal="center" vertical="center" shrinkToFit="1"/>
    </xf>
    <xf numFmtId="0" fontId="7" fillId="0" borderId="58" xfId="3" applyFont="1" applyFill="1" applyBorder="1" applyAlignment="1" applyProtection="1">
      <alignment horizontal="center" vertical="center" shrinkToFit="1"/>
    </xf>
    <xf numFmtId="4" fontId="7" fillId="0" borderId="58" xfId="3" applyNumberFormat="1" applyFont="1" applyFill="1" applyBorder="1" applyAlignment="1" applyProtection="1">
      <alignment horizontal="left" vertical="center" shrinkToFit="1"/>
    </xf>
    <xf numFmtId="0" fontId="7" fillId="0" borderId="58" xfId="3" applyFont="1" applyFill="1" applyBorder="1" applyAlignment="1" applyProtection="1">
      <alignment horizontal="right" vertical="center" shrinkToFit="1"/>
    </xf>
    <xf numFmtId="3" fontId="7" fillId="0" borderId="58" xfId="3" applyNumberFormat="1" applyFont="1" applyFill="1" applyBorder="1" applyAlignment="1" applyProtection="1">
      <alignment horizontal="center" vertical="center" shrinkToFit="1"/>
    </xf>
    <xf numFmtId="2" fontId="7" fillId="0" borderId="58" xfId="3" applyNumberFormat="1" applyFont="1" applyFill="1" applyBorder="1" applyAlignment="1" applyProtection="1">
      <alignment horizontal="right" vertical="center" shrinkToFit="1"/>
    </xf>
    <xf numFmtId="0" fontId="7" fillId="0" borderId="58" xfId="3" applyNumberFormat="1" applyFont="1" applyFill="1" applyBorder="1" applyAlignment="1" applyProtection="1">
      <alignment horizontal="center" vertical="center" shrinkToFit="1"/>
    </xf>
    <xf numFmtId="0" fontId="47" fillId="0" borderId="58" xfId="3" applyNumberFormat="1" applyFont="1" applyFill="1" applyBorder="1" applyAlignment="1" applyProtection="1">
      <alignment horizontal="center" vertical="center" shrinkToFit="1"/>
    </xf>
    <xf numFmtId="4" fontId="7" fillId="0" borderId="58" xfId="3" applyNumberFormat="1" applyFont="1" applyFill="1" applyBorder="1" applyAlignment="1" applyProtection="1">
      <alignment horizontal="center" vertical="center" shrinkToFit="1"/>
    </xf>
    <xf numFmtId="0" fontId="48" fillId="0" borderId="58" xfId="3" applyNumberFormat="1" applyFont="1" applyFill="1" applyBorder="1" applyAlignment="1" applyProtection="1">
      <alignment horizontal="center" vertical="center" shrinkToFit="1"/>
    </xf>
    <xf numFmtId="1" fontId="48" fillId="0" borderId="58" xfId="3" applyNumberFormat="1" applyFont="1" applyFill="1" applyBorder="1" applyAlignment="1" applyProtection="1">
      <alignment horizontal="center" vertical="center" shrinkToFit="1"/>
    </xf>
    <xf numFmtId="166" fontId="41" fillId="0" borderId="58" xfId="0" applyNumberFormat="1" applyFont="1" applyBorder="1" applyProtection="1"/>
    <xf numFmtId="4" fontId="7" fillId="0" borderId="58" xfId="3" applyNumberFormat="1" applyFont="1" applyFill="1" applyBorder="1" applyAlignment="1" applyProtection="1">
      <alignment horizontal="right" vertical="center" shrinkToFit="1"/>
    </xf>
    <xf numFmtId="4" fontId="7" fillId="0" borderId="59" xfId="3" applyNumberFormat="1" applyFont="1" applyFill="1" applyBorder="1" applyAlignment="1" applyProtection="1">
      <alignment horizontal="right" vertical="center" shrinkToFit="1"/>
    </xf>
    <xf numFmtId="4" fontId="7" fillId="0" borderId="31" xfId="3" applyNumberFormat="1" applyFont="1" applyFill="1" applyBorder="1" applyAlignment="1" applyProtection="1">
      <alignment horizontal="left" vertical="center" shrinkToFit="1"/>
    </xf>
    <xf numFmtId="3" fontId="7" fillId="0" borderId="31" xfId="3" applyNumberFormat="1" applyFont="1" applyFill="1" applyBorder="1" applyAlignment="1" applyProtection="1">
      <alignment horizontal="center" vertical="center" shrinkToFit="1"/>
    </xf>
    <xf numFmtId="0" fontId="48" fillId="0" borderId="31" xfId="3" applyNumberFormat="1" applyFont="1" applyFill="1" applyBorder="1" applyAlignment="1" applyProtection="1">
      <alignment horizontal="center" vertical="center" shrinkToFit="1"/>
    </xf>
    <xf numFmtId="1" fontId="48" fillId="0" borderId="31" xfId="3" applyNumberFormat="1" applyFont="1" applyFill="1" applyBorder="1" applyAlignment="1" applyProtection="1">
      <alignment horizontal="center" vertical="center" shrinkToFit="1"/>
    </xf>
    <xf numFmtId="166" fontId="41" fillId="0" borderId="31" xfId="0" applyNumberFormat="1" applyFont="1" applyBorder="1" applyProtection="1"/>
    <xf numFmtId="4" fontId="7" fillId="0" borderId="31" xfId="3" applyNumberFormat="1" applyFont="1" applyFill="1" applyBorder="1" applyAlignment="1" applyProtection="1">
      <alignment horizontal="right" vertical="center" shrinkToFit="1"/>
    </xf>
    <xf numFmtId="4" fontId="7" fillId="0" borderId="61" xfId="3" applyNumberFormat="1" applyFont="1" applyFill="1" applyBorder="1" applyAlignment="1" applyProtection="1">
      <alignment horizontal="right" vertical="center" shrinkToFit="1"/>
    </xf>
    <xf numFmtId="3" fontId="7" fillId="0" borderId="30" xfId="3" applyNumberFormat="1" applyFont="1" applyFill="1" applyBorder="1" applyAlignment="1" applyProtection="1">
      <alignment horizontal="center" vertical="center" shrinkToFit="1"/>
    </xf>
    <xf numFmtId="166" fontId="41" fillId="0" borderId="30" xfId="0" applyNumberFormat="1" applyFont="1" applyFill="1" applyBorder="1" applyProtection="1"/>
    <xf numFmtId="0" fontId="5" fillId="0" borderId="30" xfId="3" applyNumberFormat="1" applyFont="1" applyFill="1" applyBorder="1" applyAlignment="1" applyProtection="1">
      <alignment horizontal="center" vertical="center" shrinkToFit="1"/>
    </xf>
    <xf numFmtId="4" fontId="5" fillId="0" borderId="55" xfId="3" applyNumberFormat="1" applyFont="1" applyFill="1" applyBorder="1" applyAlignment="1" applyProtection="1">
      <alignment vertical="center" shrinkToFit="1"/>
    </xf>
    <xf numFmtId="49" fontId="39" fillId="0" borderId="30" xfId="3" applyNumberFormat="1" applyFont="1" applyFill="1" applyBorder="1" applyAlignment="1" applyProtection="1">
      <alignment horizontal="center" vertical="center" shrinkToFit="1"/>
    </xf>
    <xf numFmtId="49" fontId="39" fillId="0" borderId="58" xfId="3" applyNumberFormat="1" applyFont="1" applyFill="1" applyBorder="1" applyAlignment="1" applyProtection="1">
      <alignment horizontal="center" vertical="center" shrinkToFit="1"/>
    </xf>
    <xf numFmtId="4" fontId="39" fillId="0" borderId="58" xfId="3" applyNumberFormat="1" applyFont="1" applyFill="1" applyBorder="1" applyAlignment="1" applyProtection="1">
      <alignment horizontal="left" vertical="center" shrinkToFit="1"/>
    </xf>
    <xf numFmtId="0" fontId="5" fillId="0" borderId="58" xfId="3" applyFont="1" applyFill="1" applyBorder="1" applyAlignment="1" applyProtection="1">
      <alignment horizontal="right" vertical="center" shrinkToFit="1"/>
    </xf>
    <xf numFmtId="0" fontId="11" fillId="0" borderId="58" xfId="3" applyFont="1" applyFill="1" applyBorder="1" applyAlignment="1" applyProtection="1">
      <alignment horizontal="center" vertical="center" shrinkToFit="1"/>
    </xf>
    <xf numFmtId="0" fontId="39" fillId="0" borderId="31" xfId="3" applyFont="1" applyFill="1" applyBorder="1" applyAlignment="1" applyProtection="1">
      <alignment horizontal="center" vertical="center" shrinkToFit="1"/>
    </xf>
    <xf numFmtId="4" fontId="39" fillId="0" borderId="31" xfId="3" applyNumberFormat="1" applyFont="1" applyFill="1" applyBorder="1" applyAlignment="1" applyProtection="1">
      <alignment horizontal="left" vertical="center" shrinkToFit="1"/>
    </xf>
    <xf numFmtId="0" fontId="5" fillId="0" borderId="31" xfId="3" applyFont="1" applyFill="1" applyBorder="1" applyAlignment="1" applyProtection="1">
      <alignment horizontal="right" vertical="center" shrinkToFit="1"/>
    </xf>
    <xf numFmtId="0" fontId="5" fillId="0" borderId="31" xfId="3" applyNumberFormat="1" applyFont="1" applyFill="1" applyBorder="1" applyAlignment="1" applyProtection="1">
      <alignment horizontal="center" vertical="center" shrinkToFit="1"/>
    </xf>
    <xf numFmtId="4" fontId="49" fillId="0" borderId="31" xfId="3" applyNumberFormat="1" applyFont="1" applyFill="1" applyBorder="1" applyAlignment="1" applyProtection="1">
      <alignment horizontal="center" vertical="center" shrinkToFit="1"/>
    </xf>
    <xf numFmtId="0" fontId="39" fillId="0" borderId="58" xfId="3" applyFont="1" applyFill="1" applyBorder="1" applyAlignment="1" applyProtection="1">
      <alignment horizontal="center" vertical="center" shrinkToFit="1"/>
    </xf>
    <xf numFmtId="0" fontId="5" fillId="0" borderId="58" xfId="3" applyNumberFormat="1" applyFont="1" applyFill="1" applyBorder="1" applyAlignment="1" applyProtection="1">
      <alignment horizontal="center" vertical="center" shrinkToFit="1"/>
    </xf>
    <xf numFmtId="171" fontId="5" fillId="0" borderId="0" xfId="3" applyNumberFormat="1"/>
    <xf numFmtId="2" fontId="5" fillId="0" borderId="0" xfId="3" applyNumberFormat="1"/>
    <xf numFmtId="0" fontId="5" fillId="0" borderId="0" xfId="3" applyAlignment="1">
      <alignment horizontal="right"/>
    </xf>
    <xf numFmtId="0" fontId="11" fillId="0" borderId="31" xfId="3" applyFont="1" applyFill="1" applyBorder="1" applyAlignment="1" applyProtection="1">
      <alignment horizontal="center" vertical="center" shrinkToFit="1"/>
    </xf>
    <xf numFmtId="0" fontId="40" fillId="0" borderId="30" xfId="3" applyFont="1" applyFill="1" applyBorder="1" applyAlignment="1" applyProtection="1">
      <alignment horizontal="left" vertical="center" shrinkToFit="1"/>
    </xf>
    <xf numFmtId="0" fontId="49" fillId="0" borderId="30" xfId="3" applyFont="1" applyFill="1" applyBorder="1" applyAlignment="1" applyProtection="1">
      <alignment horizontal="center" vertical="center" shrinkToFit="1"/>
    </xf>
    <xf numFmtId="49" fontId="7" fillId="0" borderId="58" xfId="3" applyNumberFormat="1" applyFont="1" applyFill="1" applyBorder="1" applyAlignment="1" applyProtection="1">
      <alignment horizontal="center" vertical="center" shrinkToFit="1"/>
    </xf>
    <xf numFmtId="0" fontId="7" fillId="0" borderId="58" xfId="3" applyFont="1" applyFill="1" applyBorder="1" applyAlignment="1" applyProtection="1">
      <alignment horizontal="left" vertical="center" shrinkToFit="1"/>
    </xf>
    <xf numFmtId="0" fontId="47" fillId="0" borderId="58" xfId="3" applyFont="1" applyFill="1" applyBorder="1" applyAlignment="1" applyProtection="1">
      <alignment horizontal="center" vertical="center" shrinkToFit="1"/>
    </xf>
    <xf numFmtId="49" fontId="39" fillId="0" borderId="31" xfId="3" applyNumberFormat="1" applyFont="1" applyFill="1" applyBorder="1" applyAlignment="1" applyProtection="1">
      <alignment horizontal="center" vertical="center" shrinkToFit="1"/>
    </xf>
    <xf numFmtId="4" fontId="39" fillId="0" borderId="62" xfId="3" applyNumberFormat="1" applyFont="1" applyFill="1" applyBorder="1" applyAlignment="1" applyProtection="1">
      <alignment horizontal="left" vertical="center" shrinkToFit="1"/>
    </xf>
    <xf numFmtId="2" fontId="5" fillId="0" borderId="62" xfId="3" applyNumberFormat="1" applyFont="1" applyFill="1" applyBorder="1" applyAlignment="1" applyProtection="1">
      <alignment horizontal="right" vertical="center" shrinkToFit="1"/>
    </xf>
    <xf numFmtId="0" fontId="39" fillId="0" borderId="30" xfId="3" applyFont="1" applyFill="1" applyBorder="1" applyAlignment="1" applyProtection="1">
      <alignment horizontal="left" vertical="center" shrinkToFit="1"/>
    </xf>
    <xf numFmtId="49" fontId="7" fillId="0" borderId="30" xfId="3" applyNumberFormat="1" applyFont="1" applyFill="1" applyBorder="1" applyAlignment="1" applyProtection="1">
      <alignment horizontal="center" vertical="center" shrinkToFit="1"/>
    </xf>
    <xf numFmtId="0" fontId="7" fillId="0" borderId="30" xfId="3" applyFont="1" applyFill="1" applyBorder="1" applyAlignment="1" applyProtection="1">
      <alignment horizontal="left" vertical="center" shrinkToFit="1"/>
    </xf>
    <xf numFmtId="165" fontId="39" fillId="0" borderId="30" xfId="3" applyNumberFormat="1" applyFont="1" applyFill="1" applyBorder="1" applyAlignment="1" applyProtection="1">
      <alignment horizontal="right" vertical="center" shrinkToFit="1"/>
    </xf>
    <xf numFmtId="0" fontId="22" fillId="0" borderId="30" xfId="0" applyFont="1" applyBorder="1" applyAlignment="1" applyProtection="1">
      <alignment vertical="center"/>
    </xf>
    <xf numFmtId="0" fontId="50" fillId="0" borderId="30" xfId="0" applyFont="1" applyBorder="1" applyAlignment="1" applyProtection="1">
      <alignment vertical="center"/>
    </xf>
    <xf numFmtId="165" fontId="7" fillId="0" borderId="30" xfId="3" applyNumberFormat="1" applyFont="1" applyFill="1" applyBorder="1" applyAlignment="1" applyProtection="1">
      <alignment horizontal="right" vertical="center" shrinkToFit="1"/>
    </xf>
    <xf numFmtId="168" fontId="39" fillId="0" borderId="30" xfId="6" applyNumberFormat="1" applyFont="1" applyFill="1" applyBorder="1" applyAlignment="1" applyProtection="1">
      <alignment horizontal="right" vertical="center" shrinkToFit="1"/>
    </xf>
    <xf numFmtId="168" fontId="7" fillId="0" borderId="30" xfId="6" applyNumberFormat="1" applyFont="1" applyFill="1" applyBorder="1" applyAlignment="1" applyProtection="1">
      <alignment horizontal="right" vertical="center" shrinkToFit="1"/>
    </xf>
    <xf numFmtId="0" fontId="47" fillId="0" borderId="30" xfId="3" applyFont="1" applyFill="1" applyBorder="1" applyAlignment="1" applyProtection="1">
      <alignment horizontal="center" vertical="center" shrinkToFit="1"/>
    </xf>
    <xf numFmtId="166" fontId="0" fillId="0" borderId="30" xfId="0" applyNumberFormat="1" applyBorder="1" applyAlignment="1" applyProtection="1">
      <alignment vertical="center"/>
    </xf>
    <xf numFmtId="166" fontId="41" fillId="0" borderId="30" xfId="0" applyNumberFormat="1" applyFont="1" applyBorder="1" applyAlignment="1" applyProtection="1">
      <alignment vertical="center"/>
    </xf>
    <xf numFmtId="166" fontId="0" fillId="0" borderId="58" xfId="0" applyNumberFormat="1" applyBorder="1" applyAlignment="1" applyProtection="1">
      <alignment vertical="center"/>
    </xf>
    <xf numFmtId="166" fontId="0" fillId="0" borderId="31" xfId="0" applyNumberFormat="1" applyBorder="1" applyAlignment="1" applyProtection="1">
      <alignment vertical="center"/>
    </xf>
    <xf numFmtId="0" fontId="49" fillId="0" borderId="30" xfId="3" applyNumberFormat="1" applyFont="1" applyFill="1" applyBorder="1" applyAlignment="1" applyProtection="1">
      <alignment horizontal="center" vertical="center" shrinkToFit="1"/>
    </xf>
    <xf numFmtId="0" fontId="39" fillId="0" borderId="58" xfId="3" applyFont="1" applyFill="1" applyBorder="1" applyAlignment="1" applyProtection="1">
      <alignment horizontal="left" vertical="center" shrinkToFit="1"/>
    </xf>
    <xf numFmtId="168" fontId="39" fillId="0" borderId="58" xfId="6" applyNumberFormat="1" applyFont="1" applyFill="1" applyBorder="1" applyAlignment="1" applyProtection="1">
      <alignment horizontal="right" vertical="center" shrinkToFit="1"/>
    </xf>
    <xf numFmtId="2" fontId="23" fillId="0" borderId="30" xfId="3" applyNumberFormat="1" applyFont="1" applyFill="1" applyBorder="1" applyAlignment="1" applyProtection="1">
      <alignment horizontal="center" vertical="center" shrinkToFit="1"/>
    </xf>
    <xf numFmtId="0" fontId="5" fillId="0" borderId="0" xfId="3" applyFont="1" applyProtection="1"/>
    <xf numFmtId="0" fontId="5" fillId="0" borderId="0" xfId="3" applyFont="1" applyAlignment="1" applyProtection="1">
      <alignment shrinkToFit="1"/>
    </xf>
    <xf numFmtId="2" fontId="5" fillId="0" borderId="0" xfId="3" applyNumberFormat="1" applyFont="1" applyAlignment="1" applyProtection="1">
      <alignment shrinkToFit="1"/>
    </xf>
    <xf numFmtId="4" fontId="4" fillId="0" borderId="0" xfId="3" applyNumberFormat="1" applyFont="1" applyAlignment="1" applyProtection="1">
      <alignment shrinkToFit="1"/>
    </xf>
    <xf numFmtId="0" fontId="5" fillId="5" borderId="0" xfId="3" applyFont="1" applyFill="1" applyAlignment="1" applyProtection="1">
      <alignment shrinkToFit="1"/>
    </xf>
    <xf numFmtId="2" fontId="5" fillId="5" borderId="0" xfId="3" applyNumberFormat="1" applyFont="1" applyFill="1" applyAlignment="1" applyProtection="1">
      <alignment shrinkToFit="1"/>
    </xf>
    <xf numFmtId="4" fontId="4" fillId="4" borderId="63" xfId="3" applyNumberFormat="1" applyFont="1" applyFill="1" applyBorder="1" applyAlignment="1" applyProtection="1">
      <alignment vertical="center"/>
    </xf>
    <xf numFmtId="0" fontId="60" fillId="4" borderId="58" xfId="3" applyFont="1" applyFill="1" applyBorder="1" applyAlignment="1" applyProtection="1">
      <alignment horizontal="center" vertical="center" shrinkToFit="1"/>
    </xf>
    <xf numFmtId="0" fontId="4" fillId="4" borderId="58" xfId="3" applyFont="1" applyFill="1" applyBorder="1" applyAlignment="1" applyProtection="1">
      <alignment horizontal="center" vertical="center" shrinkToFit="1"/>
    </xf>
    <xf numFmtId="0" fontId="4" fillId="4" borderId="64" xfId="3" applyFont="1" applyFill="1" applyBorder="1" applyAlignment="1" applyProtection="1">
      <alignment horizontal="left" vertical="center" wrapText="1"/>
    </xf>
    <xf numFmtId="0" fontId="56" fillId="4" borderId="64" xfId="3" applyFont="1" applyFill="1" applyBorder="1" applyAlignment="1" applyProtection="1">
      <alignment horizontal="left" vertical="center" wrapText="1"/>
    </xf>
    <xf numFmtId="3" fontId="4" fillId="4" borderId="64" xfId="3" applyNumberFormat="1" applyFont="1" applyFill="1" applyBorder="1" applyAlignment="1" applyProtection="1">
      <alignment horizontal="center" vertical="center" shrinkToFit="1"/>
    </xf>
    <xf numFmtId="2" fontId="4" fillId="4" borderId="64" xfId="3" applyNumberFormat="1" applyFont="1" applyFill="1" applyBorder="1" applyAlignment="1" applyProtection="1">
      <alignment horizontal="right" vertical="center" shrinkToFit="1"/>
    </xf>
    <xf numFmtId="2" fontId="61" fillId="4" borderId="65" xfId="3" applyNumberFormat="1" applyFont="1" applyFill="1" applyBorder="1" applyAlignment="1" applyProtection="1">
      <alignment vertical="center" shrinkToFit="1"/>
    </xf>
    <xf numFmtId="0" fontId="56" fillId="4" borderId="58" xfId="3" applyNumberFormat="1" applyFont="1" applyFill="1" applyBorder="1" applyAlignment="1" applyProtection="1">
      <alignment horizontal="center" vertical="center" shrinkToFit="1"/>
    </xf>
    <xf numFmtId="1" fontId="56" fillId="4" borderId="64" xfId="3" applyNumberFormat="1" applyFont="1" applyFill="1" applyBorder="1" applyAlignment="1" applyProtection="1">
      <alignment horizontal="center" vertical="center" shrinkToFit="1"/>
    </xf>
    <xf numFmtId="166" fontId="29" fillId="4" borderId="64" xfId="0" applyNumberFormat="1" applyFont="1" applyFill="1" applyBorder="1" applyAlignment="1" applyProtection="1">
      <alignment vertical="center"/>
    </xf>
    <xf numFmtId="4" fontId="51" fillId="4" borderId="58" xfId="3" applyNumberFormat="1" applyFont="1" applyFill="1" applyBorder="1" applyAlignment="1" applyProtection="1">
      <alignment horizontal="right" vertical="center" shrinkToFit="1"/>
    </xf>
    <xf numFmtId="4" fontId="51" fillId="4" borderId="59" xfId="3" applyNumberFormat="1" applyFont="1" applyFill="1" applyBorder="1" applyAlignment="1" applyProtection="1">
      <alignment horizontal="right" vertical="center" shrinkToFit="1"/>
    </xf>
    <xf numFmtId="4" fontId="5" fillId="0" borderId="60" xfId="3" applyNumberFormat="1" applyFont="1" applyFill="1" applyBorder="1" applyAlignment="1" applyProtection="1">
      <alignment vertical="center" shrinkToFit="1"/>
    </xf>
    <xf numFmtId="4" fontId="7" fillId="3" borderId="55" xfId="3" applyNumberFormat="1" applyFont="1" applyFill="1" applyBorder="1" applyAlignment="1" applyProtection="1">
      <alignment vertical="center" shrinkToFit="1"/>
    </xf>
    <xf numFmtId="0" fontId="46" fillId="3" borderId="30" xfId="3" applyFont="1" applyFill="1" applyBorder="1" applyAlignment="1" applyProtection="1">
      <alignment horizontal="center" vertical="center" shrinkToFit="1"/>
    </xf>
    <xf numFmtId="0" fontId="7" fillId="3" borderId="30" xfId="3" applyFont="1" applyFill="1" applyBorder="1" applyAlignment="1" applyProtection="1">
      <alignment horizontal="left" vertical="center" shrinkToFit="1"/>
    </xf>
    <xf numFmtId="3" fontId="7" fillId="3" borderId="30" xfId="3" applyNumberFormat="1" applyFont="1" applyFill="1" applyBorder="1" applyAlignment="1" applyProtection="1">
      <alignment horizontal="center" vertical="center" shrinkToFit="1"/>
    </xf>
    <xf numFmtId="2" fontId="7" fillId="3" borderId="30" xfId="3" applyNumberFormat="1" applyFont="1" applyFill="1" applyBorder="1" applyAlignment="1" applyProtection="1">
      <alignment horizontal="right" vertical="center" shrinkToFit="1"/>
    </xf>
    <xf numFmtId="0" fontId="7" fillId="3" borderId="30" xfId="3" applyNumberFormat="1" applyFont="1" applyFill="1" applyBorder="1" applyAlignment="1" applyProtection="1">
      <alignment horizontal="center" vertical="center" shrinkToFit="1"/>
    </xf>
    <xf numFmtId="0" fontId="47" fillId="3" borderId="30" xfId="3" applyNumberFormat="1" applyFont="1" applyFill="1" applyBorder="1" applyAlignment="1" applyProtection="1">
      <alignment horizontal="center" vertical="center" shrinkToFit="1"/>
    </xf>
    <xf numFmtId="0" fontId="7" fillId="3" borderId="30" xfId="3" applyFont="1" applyFill="1" applyBorder="1" applyAlignment="1" applyProtection="1">
      <alignment horizontal="center" vertical="center" shrinkToFit="1"/>
    </xf>
    <xf numFmtId="4" fontId="7" fillId="3" borderId="30" xfId="3" applyNumberFormat="1" applyFont="1" applyFill="1" applyBorder="1" applyAlignment="1" applyProtection="1">
      <alignment horizontal="center" vertical="center" shrinkToFit="1"/>
    </xf>
    <xf numFmtId="0" fontId="48" fillId="3" borderId="30" xfId="3" applyNumberFormat="1" applyFont="1" applyFill="1" applyBorder="1" applyAlignment="1" applyProtection="1">
      <alignment horizontal="center" vertical="center" shrinkToFit="1"/>
    </xf>
    <xf numFmtId="1" fontId="48" fillId="3" borderId="30" xfId="3" applyNumberFormat="1" applyFont="1" applyFill="1" applyBorder="1" applyAlignment="1" applyProtection="1">
      <alignment horizontal="center" vertical="center" shrinkToFit="1"/>
    </xf>
    <xf numFmtId="166" fontId="41" fillId="3" borderId="30" xfId="0" applyNumberFormat="1" applyFont="1" applyFill="1" applyBorder="1" applyAlignment="1" applyProtection="1">
      <alignment vertical="center"/>
    </xf>
    <xf numFmtId="4" fontId="7" fillId="3" borderId="30" xfId="3" applyNumberFormat="1" applyFont="1" applyFill="1" applyBorder="1" applyAlignment="1" applyProtection="1">
      <alignment horizontal="right" vertical="center" shrinkToFit="1"/>
    </xf>
    <xf numFmtId="4" fontId="7" fillId="3" borderId="56" xfId="3" applyNumberFormat="1" applyFont="1" applyFill="1" applyBorder="1" applyAlignment="1" applyProtection="1">
      <alignment horizontal="right" vertical="center" shrinkToFit="1"/>
    </xf>
    <xf numFmtId="0" fontId="4" fillId="0" borderId="55" xfId="3" applyFont="1" applyFill="1" applyBorder="1" applyAlignment="1" applyProtection="1">
      <alignment horizontal="left" vertical="center" shrinkToFit="1"/>
    </xf>
    <xf numFmtId="0" fontId="15" fillId="0" borderId="55" xfId="3" applyFont="1" applyFill="1" applyBorder="1" applyAlignment="1" applyProtection="1">
      <alignment horizontal="left" vertical="center" shrinkToFit="1"/>
    </xf>
    <xf numFmtId="4" fontId="62" fillId="0" borderId="55" xfId="3" applyNumberFormat="1" applyFont="1" applyFill="1" applyBorder="1" applyAlignment="1" applyProtection="1">
      <alignment vertical="center" shrinkToFit="1"/>
    </xf>
    <xf numFmtId="4" fontId="15" fillId="0" borderId="55" xfId="3" applyNumberFormat="1" applyFont="1" applyFill="1" applyBorder="1" applyAlignment="1" applyProtection="1">
      <alignment vertical="center" shrinkToFit="1"/>
    </xf>
    <xf numFmtId="0" fontId="4" fillId="4" borderId="55" xfId="3" applyFont="1" applyFill="1" applyBorder="1" applyAlignment="1" applyProtection="1">
      <alignment horizontal="left" vertical="center" shrinkToFit="1"/>
    </xf>
    <xf numFmtId="0" fontId="60" fillId="4" borderId="30" xfId="3" applyFont="1" applyFill="1" applyBorder="1" applyAlignment="1" applyProtection="1">
      <alignment horizontal="center" vertical="center" shrinkToFit="1"/>
    </xf>
    <xf numFmtId="0" fontId="4" fillId="4" borderId="30" xfId="3" applyFont="1" applyFill="1" applyBorder="1" applyAlignment="1" applyProtection="1">
      <alignment horizontal="center" vertical="center" shrinkToFit="1"/>
    </xf>
    <xf numFmtId="0" fontId="58" fillId="4" borderId="30" xfId="3" applyFont="1" applyFill="1" applyBorder="1" applyAlignment="1" applyProtection="1">
      <alignment horizontal="left" vertical="center" wrapText="1"/>
    </xf>
    <xf numFmtId="0" fontId="53" fillId="4" borderId="30" xfId="3" applyFont="1" applyFill="1" applyBorder="1" applyAlignment="1" applyProtection="1">
      <alignment horizontal="left" vertical="center" wrapText="1"/>
    </xf>
    <xf numFmtId="3" fontId="4" fillId="4" borderId="30" xfId="3" applyNumberFormat="1" applyFont="1" applyFill="1" applyBorder="1" applyAlignment="1" applyProtection="1">
      <alignment horizontal="center" vertical="center" shrinkToFit="1"/>
    </xf>
    <xf numFmtId="2" fontId="4" fillId="4" borderId="30" xfId="3" applyNumberFormat="1" applyFont="1" applyFill="1" applyBorder="1" applyAlignment="1" applyProtection="1">
      <alignment horizontal="right" vertical="center" shrinkToFit="1"/>
    </xf>
    <xf numFmtId="0" fontId="4" fillId="4" borderId="30" xfId="3" applyNumberFormat="1" applyFont="1" applyFill="1" applyBorder="1" applyAlignment="1" applyProtection="1">
      <alignment horizontal="center" vertical="center" shrinkToFit="1"/>
    </xf>
    <xf numFmtId="0" fontId="49" fillId="4" borderId="30" xfId="3" applyNumberFormat="1" applyFont="1" applyFill="1" applyBorder="1" applyAlignment="1" applyProtection="1">
      <alignment horizontal="center" vertical="center" shrinkToFit="1"/>
    </xf>
    <xf numFmtId="4" fontId="4" fillId="4" borderId="30" xfId="3" applyNumberFormat="1" applyFont="1" applyFill="1" applyBorder="1" applyAlignment="1" applyProtection="1">
      <alignment horizontal="center" vertical="center" shrinkToFit="1"/>
    </xf>
    <xf numFmtId="2" fontId="49" fillId="4" borderId="30" xfId="3" applyNumberFormat="1" applyFont="1" applyFill="1" applyBorder="1" applyAlignment="1" applyProtection="1">
      <alignment horizontal="center" vertical="center" shrinkToFit="1"/>
    </xf>
    <xf numFmtId="1" fontId="56" fillId="4" borderId="30" xfId="3" applyNumberFormat="1" applyFont="1" applyFill="1" applyBorder="1" applyAlignment="1" applyProtection="1">
      <alignment horizontal="center" vertical="center" shrinkToFit="1"/>
    </xf>
    <xf numFmtId="166" fontId="29" fillId="4" borderId="30" xfId="0" applyNumberFormat="1" applyFont="1" applyFill="1" applyBorder="1" applyAlignment="1" applyProtection="1">
      <alignment vertical="center"/>
    </xf>
    <xf numFmtId="4" fontId="51" fillId="4" borderId="30" xfId="3" applyNumberFormat="1" applyFont="1" applyFill="1" applyBorder="1" applyAlignment="1" applyProtection="1">
      <alignment horizontal="right" vertical="center" shrinkToFit="1"/>
    </xf>
    <xf numFmtId="4" fontId="51" fillId="4" borderId="56" xfId="3" applyNumberFormat="1" applyFont="1" applyFill="1" applyBorder="1" applyAlignment="1" applyProtection="1">
      <alignment horizontal="right" vertical="center" shrinkToFit="1"/>
    </xf>
    <xf numFmtId="0" fontId="5" fillId="0" borderId="55" xfId="3" applyFont="1" applyFill="1" applyBorder="1" applyAlignment="1" applyProtection="1">
      <alignment horizontal="left" vertical="center" shrinkToFit="1"/>
    </xf>
    <xf numFmtId="0" fontId="4" fillId="0" borderId="30" xfId="3" applyFont="1" applyFill="1" applyBorder="1" applyAlignment="1" applyProtection="1">
      <alignment horizontal="center" vertical="center" shrinkToFit="1"/>
    </xf>
    <xf numFmtId="0" fontId="7" fillId="0" borderId="55" xfId="3" applyFont="1" applyFill="1" applyBorder="1" applyAlignment="1" applyProtection="1">
      <alignment horizontal="left" vertical="center" shrinkToFit="1"/>
    </xf>
    <xf numFmtId="0" fontId="15" fillId="0" borderId="57" xfId="3" applyFont="1" applyFill="1" applyBorder="1" applyAlignment="1" applyProtection="1">
      <alignment horizontal="left" vertical="center" shrinkToFit="1"/>
    </xf>
    <xf numFmtId="166" fontId="41" fillId="0" borderId="58" xfId="0" applyNumberFormat="1" applyFont="1" applyBorder="1" applyAlignment="1" applyProtection="1">
      <alignment vertical="center"/>
    </xf>
    <xf numFmtId="0" fontId="4" fillId="0" borderId="60" xfId="3" applyFont="1" applyFill="1" applyBorder="1" applyAlignment="1" applyProtection="1">
      <alignment horizontal="left" vertical="center" shrinkToFit="1"/>
    </xf>
    <xf numFmtId="16" fontId="5" fillId="0" borderId="0" xfId="3" applyNumberFormat="1"/>
    <xf numFmtId="166" fontId="62" fillId="4" borderId="30" xfId="0" applyNumberFormat="1" applyFont="1" applyFill="1" applyBorder="1" applyAlignment="1" applyProtection="1">
      <alignment vertical="center"/>
    </xf>
    <xf numFmtId="4" fontId="4" fillId="4" borderId="30" xfId="3" applyNumberFormat="1" applyFont="1" applyFill="1" applyBorder="1" applyAlignment="1" applyProtection="1">
      <alignment horizontal="right" vertical="center" shrinkToFit="1"/>
    </xf>
    <xf numFmtId="4" fontId="4" fillId="4" borderId="56" xfId="3" applyNumberFormat="1" applyFont="1" applyFill="1" applyBorder="1" applyAlignment="1" applyProtection="1">
      <alignment horizontal="right" vertical="center" shrinkToFit="1"/>
    </xf>
    <xf numFmtId="0" fontId="63" fillId="0" borderId="55" xfId="3" applyFont="1" applyFill="1" applyBorder="1" applyAlignment="1" applyProtection="1">
      <alignment horizontal="left" vertical="center" shrinkToFit="1"/>
    </xf>
    <xf numFmtId="0" fontId="41" fillId="0" borderId="30" xfId="3" applyFont="1" applyFill="1" applyBorder="1" applyAlignment="1" applyProtection="1">
      <alignment horizontal="center" vertical="center" shrinkToFit="1"/>
    </xf>
    <xf numFmtId="0" fontId="41" fillId="0" borderId="30" xfId="3" applyFont="1" applyFill="1" applyBorder="1" applyAlignment="1" applyProtection="1">
      <alignment horizontal="left" vertical="center" shrinkToFit="1"/>
    </xf>
    <xf numFmtId="3" fontId="41" fillId="0" borderId="30" xfId="3" applyNumberFormat="1" applyFont="1" applyFill="1" applyBorder="1" applyAlignment="1" applyProtection="1">
      <alignment horizontal="center" vertical="center" shrinkToFit="1"/>
    </xf>
    <xf numFmtId="0" fontId="41" fillId="0" borderId="30" xfId="3" applyFont="1" applyFill="1" applyBorder="1" applyAlignment="1" applyProtection="1">
      <alignment horizontal="right" vertical="center" shrinkToFit="1"/>
    </xf>
    <xf numFmtId="0" fontId="41" fillId="0" borderId="30" xfId="3" applyNumberFormat="1" applyFont="1" applyFill="1" applyBorder="1" applyAlignment="1" applyProtection="1">
      <alignment horizontal="center" vertical="center" shrinkToFit="1"/>
    </xf>
    <xf numFmtId="4" fontId="4" fillId="4" borderId="55" xfId="3" applyNumberFormat="1" applyFont="1" applyFill="1" applyBorder="1" applyAlignment="1" applyProtection="1">
      <alignment vertical="center" shrinkToFit="1"/>
    </xf>
    <xf numFmtId="0" fontId="4" fillId="4" borderId="30" xfId="3" applyFont="1" applyFill="1" applyBorder="1" applyAlignment="1" applyProtection="1">
      <alignment horizontal="left" vertical="center" wrapText="1"/>
    </xf>
    <xf numFmtId="0" fontId="56" fillId="4" borderId="30" xfId="3" applyFont="1" applyFill="1" applyBorder="1" applyAlignment="1" applyProtection="1">
      <alignment horizontal="left" vertical="center" wrapText="1"/>
    </xf>
    <xf numFmtId="169" fontId="5" fillId="0" borderId="30" xfId="3" applyNumberFormat="1" applyFont="1" applyFill="1" applyBorder="1" applyAlignment="1" applyProtection="1">
      <alignment horizontal="center" vertical="center" shrinkToFit="1"/>
    </xf>
    <xf numFmtId="4" fontId="47" fillId="0" borderId="30" xfId="3" applyNumberFormat="1" applyFont="1" applyFill="1" applyBorder="1" applyAlignment="1" applyProtection="1">
      <alignment horizontal="center" vertical="center" shrinkToFit="1"/>
    </xf>
    <xf numFmtId="0" fontId="4" fillId="0" borderId="30" xfId="3" applyFont="1" applyFill="1" applyBorder="1" applyAlignment="1" applyProtection="1">
      <alignment horizontal="left" vertical="center" shrinkToFit="1"/>
    </xf>
    <xf numFmtId="0" fontId="49" fillId="4" borderId="30" xfId="3" applyFont="1" applyFill="1" applyBorder="1" applyAlignment="1" applyProtection="1">
      <alignment horizontal="center" vertical="center" shrinkToFit="1"/>
    </xf>
    <xf numFmtId="0" fontId="4" fillId="0" borderId="31" xfId="3" applyFont="1" applyFill="1" applyBorder="1" applyAlignment="1" applyProtection="1">
      <alignment horizontal="left" vertical="center" shrinkToFit="1"/>
    </xf>
    <xf numFmtId="169" fontId="7" fillId="0" borderId="30" xfId="3" applyNumberFormat="1" applyFont="1" applyFill="1" applyBorder="1" applyAlignment="1" applyProtection="1">
      <alignment horizontal="center" vertical="center" shrinkToFit="1"/>
    </xf>
    <xf numFmtId="4" fontId="49" fillId="0" borderId="30" xfId="3" applyNumberFormat="1" applyFont="1" applyFill="1" applyBorder="1" applyAlignment="1" applyProtection="1">
      <alignment horizontal="center" vertical="center" shrinkToFit="1"/>
    </xf>
    <xf numFmtId="3" fontId="5" fillId="0" borderId="30" xfId="3" applyNumberFormat="1" applyFont="1" applyFill="1" applyBorder="1" applyAlignment="1" applyProtection="1">
      <alignment horizontal="left" vertical="center" shrinkToFit="1"/>
    </xf>
    <xf numFmtId="166" fontId="7" fillId="0" borderId="30" xfId="3" applyNumberFormat="1" applyFont="1" applyFill="1" applyBorder="1" applyAlignment="1" applyProtection="1">
      <alignment horizontal="right" vertical="center" shrinkToFit="1"/>
    </xf>
    <xf numFmtId="169" fontId="7" fillId="0" borderId="58" xfId="3" applyNumberFormat="1" applyFont="1" applyFill="1" applyBorder="1" applyAlignment="1" applyProtection="1">
      <alignment horizontal="center" vertical="center" shrinkToFit="1"/>
    </xf>
    <xf numFmtId="169" fontId="5" fillId="0" borderId="31" xfId="3" applyNumberFormat="1" applyFont="1" applyFill="1" applyBorder="1" applyAlignment="1" applyProtection="1">
      <alignment horizontal="center" vertical="center" shrinkToFit="1"/>
    </xf>
    <xf numFmtId="4" fontId="64" fillId="0" borderId="55" xfId="3" applyNumberFormat="1" applyFont="1" applyFill="1" applyBorder="1" applyAlignment="1" applyProtection="1">
      <alignment vertical="center" shrinkToFit="1"/>
    </xf>
    <xf numFmtId="169" fontId="64" fillId="0" borderId="30" xfId="3" applyNumberFormat="1" applyFont="1" applyFill="1" applyBorder="1" applyAlignment="1" applyProtection="1">
      <alignment horizontal="center" vertical="center" shrinkToFit="1"/>
    </xf>
    <xf numFmtId="4" fontId="64" fillId="0" borderId="30" xfId="3" applyNumberFormat="1" applyFont="1" applyFill="1" applyBorder="1" applyAlignment="1" applyProtection="1">
      <alignment horizontal="center" vertical="center" shrinkToFit="1"/>
    </xf>
    <xf numFmtId="4" fontId="64" fillId="0" borderId="30" xfId="3" applyNumberFormat="1" applyFont="1" applyFill="1" applyBorder="1" applyAlignment="1" applyProtection="1">
      <alignment horizontal="left" vertical="center" shrinkToFit="1"/>
    </xf>
    <xf numFmtId="4" fontId="64" fillId="0" borderId="30" xfId="3" applyNumberFormat="1" applyFont="1" applyFill="1" applyBorder="1" applyAlignment="1" applyProtection="1">
      <alignment horizontal="right" vertical="center" shrinkToFit="1"/>
    </xf>
    <xf numFmtId="0" fontId="64" fillId="0" borderId="30" xfId="3" applyFont="1" applyFill="1" applyBorder="1" applyAlignment="1" applyProtection="1">
      <alignment horizontal="center" vertical="center" shrinkToFit="1"/>
    </xf>
    <xf numFmtId="0" fontId="64" fillId="0" borderId="30" xfId="3" applyNumberFormat="1" applyFont="1" applyFill="1" applyBorder="1" applyAlignment="1" applyProtection="1">
      <alignment horizontal="center" vertical="center" shrinkToFit="1"/>
    </xf>
    <xf numFmtId="4" fontId="5" fillId="0" borderId="57" xfId="3" applyNumberFormat="1" applyFont="1" applyFill="1" applyBorder="1" applyAlignment="1" applyProtection="1">
      <alignment vertical="center" shrinkToFit="1"/>
    </xf>
    <xf numFmtId="169" fontId="5" fillId="0" borderId="58" xfId="3" applyNumberFormat="1" applyFont="1" applyFill="1" applyBorder="1" applyAlignment="1" applyProtection="1">
      <alignment horizontal="center" vertical="center" shrinkToFit="1"/>
    </xf>
    <xf numFmtId="4" fontId="5" fillId="0" borderId="58" xfId="3" applyNumberFormat="1" applyFont="1" applyFill="1" applyBorder="1" applyAlignment="1" applyProtection="1">
      <alignment horizontal="right" vertical="center" shrinkToFit="1"/>
    </xf>
    <xf numFmtId="169" fontId="39" fillId="0" borderId="30" xfId="3" applyNumberFormat="1" applyFont="1" applyFill="1" applyBorder="1" applyAlignment="1" applyProtection="1">
      <alignment horizontal="center" vertical="center"/>
    </xf>
    <xf numFmtId="0" fontId="5" fillId="0" borderId="0" xfId="3" applyFont="1"/>
    <xf numFmtId="4" fontId="4" fillId="0" borderId="0" xfId="3" applyNumberFormat="1" applyFont="1" applyProtection="1"/>
    <xf numFmtId="4" fontId="5" fillId="0" borderId="0" xfId="3" applyNumberFormat="1" applyProtection="1"/>
    <xf numFmtId="0" fontId="5" fillId="5" borderId="0" xfId="3" applyFill="1" applyProtection="1"/>
    <xf numFmtId="4" fontId="5" fillId="5" borderId="0" xfId="3" applyNumberFormat="1" applyFill="1" applyProtection="1"/>
    <xf numFmtId="0" fontId="5" fillId="5" borderId="0" xfId="3" applyFont="1" applyFill="1" applyProtection="1"/>
    <xf numFmtId="169" fontId="39" fillId="0" borderId="31" xfId="3" applyNumberFormat="1" applyFont="1" applyFill="1" applyBorder="1" applyAlignment="1" applyProtection="1">
      <alignment horizontal="center" vertical="center"/>
    </xf>
    <xf numFmtId="4" fontId="39" fillId="0" borderId="31" xfId="3" applyNumberFormat="1" applyFont="1" applyFill="1" applyBorder="1" applyAlignment="1" applyProtection="1">
      <alignment horizontal="center" vertical="center"/>
    </xf>
    <xf numFmtId="4" fontId="39" fillId="0" borderId="31" xfId="3" applyNumberFormat="1" applyFont="1" applyFill="1" applyBorder="1" applyAlignment="1" applyProtection="1">
      <alignment horizontal="left" vertical="center"/>
    </xf>
    <xf numFmtId="4" fontId="39" fillId="0" borderId="31" xfId="3" applyNumberFormat="1" applyFont="1" applyFill="1" applyBorder="1" applyAlignment="1" applyProtection="1">
      <alignment horizontal="right" vertical="center"/>
    </xf>
    <xf numFmtId="4" fontId="44" fillId="0" borderId="31" xfId="3" applyNumberFormat="1" applyFont="1" applyFill="1" applyBorder="1" applyAlignment="1" applyProtection="1">
      <alignment horizontal="center" vertical="center"/>
    </xf>
    <xf numFmtId="0" fontId="39" fillId="0" borderId="31" xfId="3" applyFont="1" applyFill="1" applyBorder="1" applyAlignment="1" applyProtection="1">
      <alignment horizontal="center" vertical="center"/>
    </xf>
    <xf numFmtId="4" fontId="39" fillId="0" borderId="30" xfId="3" applyNumberFormat="1" applyFont="1" applyFill="1" applyBorder="1" applyAlignment="1" applyProtection="1">
      <alignment horizontal="center" vertical="center"/>
    </xf>
    <xf numFmtId="4" fontId="39" fillId="0" borderId="30" xfId="3" applyNumberFormat="1" applyFont="1" applyFill="1" applyBorder="1" applyAlignment="1" applyProtection="1">
      <alignment horizontal="left" vertical="center"/>
    </xf>
    <xf numFmtId="4" fontId="39" fillId="0" borderId="30" xfId="3" applyNumberFormat="1" applyFont="1" applyFill="1" applyBorder="1" applyAlignment="1" applyProtection="1">
      <alignment horizontal="right" vertical="center"/>
    </xf>
    <xf numFmtId="4" fontId="44" fillId="0" borderId="30" xfId="3" applyNumberFormat="1" applyFont="1" applyFill="1" applyBorder="1" applyAlignment="1" applyProtection="1">
      <alignment horizontal="center" vertical="center"/>
    </xf>
    <xf numFmtId="0" fontId="39" fillId="0" borderId="30" xfId="3" applyFont="1" applyFill="1" applyBorder="1" applyAlignment="1" applyProtection="1">
      <alignment horizontal="center" vertical="center"/>
    </xf>
    <xf numFmtId="0" fontId="23" fillId="0" borderId="30" xfId="3" applyNumberFormat="1" applyFont="1" applyFill="1" applyBorder="1" applyAlignment="1" applyProtection="1">
      <alignment horizontal="center" vertical="center"/>
    </xf>
    <xf numFmtId="0" fontId="18" fillId="0" borderId="30" xfId="3" applyFont="1" applyFill="1" applyBorder="1" applyAlignment="1" applyProtection="1">
      <alignment horizontal="left" vertical="center"/>
    </xf>
    <xf numFmtId="0" fontId="18" fillId="0" borderId="30" xfId="3" applyFont="1" applyFill="1" applyBorder="1" applyAlignment="1" applyProtection="1">
      <alignment horizontal="center" vertical="center"/>
    </xf>
    <xf numFmtId="169" fontId="5" fillId="0" borderId="30" xfId="3" applyNumberFormat="1" applyFont="1" applyFill="1" applyBorder="1" applyAlignment="1" applyProtection="1">
      <alignment horizontal="center" vertical="center"/>
    </xf>
    <xf numFmtId="4" fontId="5" fillId="0" borderId="30" xfId="3" applyNumberFormat="1" applyFont="1" applyFill="1" applyBorder="1" applyAlignment="1" applyProtection="1">
      <alignment horizontal="center" vertical="center"/>
    </xf>
    <xf numFmtId="4" fontId="5" fillId="0" borderId="30" xfId="3" applyNumberFormat="1" applyFont="1" applyFill="1" applyBorder="1" applyAlignment="1" applyProtection="1">
      <alignment horizontal="left" vertical="center"/>
    </xf>
    <xf numFmtId="4" fontId="5" fillId="0" borderId="30" xfId="3" applyNumberFormat="1" applyFont="1" applyFill="1" applyBorder="1" applyAlignment="1" applyProtection="1">
      <alignment horizontal="right" vertical="center"/>
    </xf>
    <xf numFmtId="169" fontId="7" fillId="0" borderId="30" xfId="3" applyNumberFormat="1" applyFont="1" applyFill="1" applyBorder="1" applyAlignment="1" applyProtection="1">
      <alignment horizontal="center" vertical="center"/>
    </xf>
    <xf numFmtId="4" fontId="7" fillId="0" borderId="30" xfId="3" applyNumberFormat="1" applyFont="1" applyFill="1" applyBorder="1" applyAlignment="1" applyProtection="1">
      <alignment horizontal="center" vertical="center"/>
    </xf>
    <xf numFmtId="4" fontId="7" fillId="0" borderId="30" xfId="3" applyNumberFormat="1" applyFont="1" applyFill="1" applyBorder="1" applyAlignment="1" applyProtection="1">
      <alignment horizontal="left" vertical="center"/>
    </xf>
    <xf numFmtId="4" fontId="7" fillId="0" borderId="30" xfId="3" applyNumberFormat="1" applyFont="1" applyFill="1" applyBorder="1" applyAlignment="1" applyProtection="1">
      <alignment horizontal="right" vertical="center"/>
    </xf>
    <xf numFmtId="0" fontId="65" fillId="0" borderId="30" xfId="3" applyNumberFormat="1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3" fontId="39" fillId="0" borderId="30" xfId="3" applyNumberFormat="1" applyFont="1" applyFill="1" applyBorder="1" applyAlignment="1" applyProtection="1">
      <alignment horizontal="center" vertical="center"/>
    </xf>
    <xf numFmtId="3" fontId="7" fillId="0" borderId="30" xfId="3" applyNumberFormat="1" applyFont="1" applyFill="1" applyBorder="1" applyAlignment="1" applyProtection="1">
      <alignment horizontal="center" vertical="center"/>
    </xf>
    <xf numFmtId="0" fontId="11" fillId="0" borderId="30" xfId="3" applyNumberFormat="1" applyFont="1" applyFill="1" applyBorder="1" applyAlignment="1" applyProtection="1">
      <alignment horizontal="center" vertical="center"/>
    </xf>
    <xf numFmtId="0" fontId="11" fillId="0" borderId="30" xfId="3" applyFont="1" applyFill="1" applyBorder="1" applyAlignment="1" applyProtection="1">
      <alignment horizontal="center" vertical="center"/>
    </xf>
    <xf numFmtId="4" fontId="11" fillId="0" borderId="30" xfId="3" applyNumberFormat="1" applyFont="1" applyFill="1" applyBorder="1" applyAlignment="1" applyProtection="1">
      <alignment horizontal="center" vertical="center"/>
    </xf>
    <xf numFmtId="0" fontId="44" fillId="0" borderId="30" xfId="3" applyNumberFormat="1" applyFont="1" applyFill="1" applyBorder="1" applyAlignment="1" applyProtection="1">
      <alignment horizontal="center" vertical="center"/>
    </xf>
    <xf numFmtId="3" fontId="5" fillId="0" borderId="30" xfId="3" applyNumberFormat="1" applyFont="1" applyFill="1" applyBorder="1" applyAlignment="1" applyProtection="1">
      <alignment horizontal="center" vertical="center"/>
    </xf>
    <xf numFmtId="0" fontId="47" fillId="0" borderId="30" xfId="3" applyFont="1" applyFill="1" applyBorder="1" applyAlignment="1" applyProtection="1">
      <alignment horizontal="center" vertical="center"/>
    </xf>
    <xf numFmtId="169" fontId="39" fillId="0" borderId="58" xfId="3" applyNumberFormat="1" applyFont="1" applyFill="1" applyBorder="1" applyAlignment="1" applyProtection="1">
      <alignment horizontal="center" vertical="center"/>
    </xf>
    <xf numFmtId="3" fontId="39" fillId="0" borderId="58" xfId="3" applyNumberFormat="1" applyFont="1" applyFill="1" applyBorder="1" applyAlignment="1" applyProtection="1">
      <alignment horizontal="center" vertical="center"/>
    </xf>
    <xf numFmtId="4" fontId="39" fillId="0" borderId="58" xfId="3" applyNumberFormat="1" applyFont="1" applyFill="1" applyBorder="1" applyAlignment="1" applyProtection="1">
      <alignment horizontal="left" vertical="center"/>
    </xf>
    <xf numFmtId="4" fontId="39" fillId="0" borderId="58" xfId="3" applyNumberFormat="1" applyFont="1" applyFill="1" applyBorder="1" applyAlignment="1" applyProtection="1">
      <alignment horizontal="center" vertical="center"/>
    </xf>
    <xf numFmtId="4" fontId="39" fillId="0" borderId="58" xfId="3" applyNumberFormat="1" applyFont="1" applyFill="1" applyBorder="1" applyAlignment="1" applyProtection="1">
      <alignment horizontal="right" vertical="center"/>
    </xf>
    <xf numFmtId="4" fontId="44" fillId="0" borderId="58" xfId="3" applyNumberFormat="1" applyFont="1" applyFill="1" applyBorder="1" applyAlignment="1" applyProtection="1">
      <alignment horizontal="center" vertical="center"/>
    </xf>
    <xf numFmtId="0" fontId="39" fillId="0" borderId="58" xfId="3" applyFont="1" applyFill="1" applyBorder="1" applyAlignment="1" applyProtection="1">
      <alignment horizontal="center" vertical="center"/>
    </xf>
    <xf numFmtId="0" fontId="51" fillId="0" borderId="60" xfId="3" applyFont="1" applyFill="1" applyBorder="1" applyAlignment="1" applyProtection="1">
      <alignment horizontal="left" vertical="center"/>
    </xf>
    <xf numFmtId="0" fontId="51" fillId="0" borderId="55" xfId="3" applyFont="1" applyFill="1" applyBorder="1" applyAlignment="1" applyProtection="1">
      <alignment horizontal="left" vertical="center"/>
    </xf>
    <xf numFmtId="0" fontId="15" fillId="0" borderId="55" xfId="3" applyFont="1" applyFill="1" applyBorder="1" applyAlignment="1" applyProtection="1">
      <alignment horizontal="left" vertical="center"/>
    </xf>
    <xf numFmtId="0" fontId="5" fillId="0" borderId="30" xfId="3" applyFont="1" applyFill="1" applyBorder="1" applyAlignment="1" applyProtection="1">
      <alignment horizontal="center" vertical="center"/>
    </xf>
    <xf numFmtId="4" fontId="66" fillId="0" borderId="30" xfId="3" applyNumberFormat="1" applyFont="1" applyFill="1" applyBorder="1" applyAlignment="1" applyProtection="1">
      <alignment horizontal="center" vertical="center"/>
    </xf>
    <xf numFmtId="0" fontId="44" fillId="0" borderId="30" xfId="3" applyFont="1" applyFill="1" applyBorder="1" applyAlignment="1" applyProtection="1">
      <alignment horizontal="center" vertical="center"/>
    </xf>
    <xf numFmtId="169" fontId="5" fillId="0" borderId="58" xfId="3" applyNumberFormat="1" applyFont="1" applyFill="1" applyBorder="1" applyAlignment="1" applyProtection="1">
      <alignment horizontal="center" vertical="center"/>
    </xf>
    <xf numFmtId="4" fontId="5" fillId="0" borderId="58" xfId="3" applyNumberFormat="1" applyFont="1" applyFill="1" applyBorder="1" applyAlignment="1" applyProtection="1">
      <alignment horizontal="center" vertical="center"/>
    </xf>
    <xf numFmtId="4" fontId="5" fillId="0" borderId="58" xfId="3" applyNumberFormat="1" applyFont="1" applyFill="1" applyBorder="1" applyAlignment="1" applyProtection="1">
      <alignment horizontal="left" vertical="center"/>
    </xf>
    <xf numFmtId="4" fontId="5" fillId="0" borderId="58" xfId="3" applyNumberFormat="1" applyFont="1" applyFill="1" applyBorder="1" applyAlignment="1" applyProtection="1">
      <alignment horizontal="right" vertical="center"/>
    </xf>
    <xf numFmtId="4" fontId="11" fillId="0" borderId="58" xfId="3" applyNumberFormat="1" applyFont="1" applyFill="1" applyBorder="1" applyAlignment="1" applyProtection="1">
      <alignment horizontal="center" vertical="center"/>
    </xf>
    <xf numFmtId="0" fontId="5" fillId="0" borderId="58" xfId="3" applyFont="1" applyFill="1" applyBorder="1" applyAlignment="1" applyProtection="1">
      <alignment horizontal="center" vertical="center"/>
    </xf>
    <xf numFmtId="0" fontId="67" fillId="4" borderId="0" xfId="3" applyFont="1" applyFill="1" applyProtection="1"/>
    <xf numFmtId="4" fontId="15" fillId="0" borderId="60" xfId="3" applyNumberFormat="1" applyFont="1" applyFill="1" applyBorder="1" applyAlignment="1" applyProtection="1">
      <alignment vertical="center" shrinkToFit="1"/>
    </xf>
    <xf numFmtId="169" fontId="7" fillId="0" borderId="31" xfId="3" applyNumberFormat="1" applyFont="1" applyFill="1" applyBorder="1" applyAlignment="1" applyProtection="1">
      <alignment horizontal="center" vertical="center"/>
    </xf>
    <xf numFmtId="3" fontId="7" fillId="0" borderId="31" xfId="3" applyNumberFormat="1" applyFont="1" applyFill="1" applyBorder="1" applyAlignment="1" applyProtection="1">
      <alignment horizontal="center" vertical="center"/>
    </xf>
    <xf numFmtId="4" fontId="65" fillId="0" borderId="31" xfId="3" applyNumberFormat="1" applyFont="1" applyFill="1" applyBorder="1" applyAlignment="1" applyProtection="1">
      <alignment horizontal="left" vertical="center"/>
    </xf>
    <xf numFmtId="4" fontId="7" fillId="0" borderId="31" xfId="3" applyNumberFormat="1" applyFont="1" applyFill="1" applyBorder="1" applyAlignment="1" applyProtection="1">
      <alignment horizontal="center" vertical="center"/>
    </xf>
    <xf numFmtId="4" fontId="7" fillId="0" borderId="31" xfId="3" applyNumberFormat="1" applyFont="1" applyFill="1" applyBorder="1" applyAlignment="1" applyProtection="1">
      <alignment horizontal="right" vertical="center"/>
    </xf>
    <xf numFmtId="0" fontId="47" fillId="0" borderId="30" xfId="3" applyNumberFormat="1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center" vertical="center"/>
    </xf>
    <xf numFmtId="4" fontId="65" fillId="0" borderId="30" xfId="3" applyNumberFormat="1" applyFont="1" applyFill="1" applyBorder="1" applyAlignment="1" applyProtection="1">
      <alignment horizontal="left" vertical="center"/>
    </xf>
    <xf numFmtId="4" fontId="51" fillId="0" borderId="55" xfId="3" applyNumberFormat="1" applyFont="1" applyFill="1" applyBorder="1" applyAlignment="1" applyProtection="1">
      <alignment vertical="center" shrinkToFit="1"/>
    </xf>
    <xf numFmtId="4" fontId="68" fillId="0" borderId="30" xfId="3" applyNumberFormat="1" applyFont="1" applyFill="1" applyBorder="1" applyAlignment="1" applyProtection="1">
      <alignment horizontal="left" vertical="center"/>
    </xf>
    <xf numFmtId="4" fontId="51" fillId="0" borderId="57" xfId="3" applyNumberFormat="1" applyFont="1" applyFill="1" applyBorder="1" applyAlignment="1" applyProtection="1">
      <alignment vertical="center" shrinkToFit="1"/>
    </xf>
    <xf numFmtId="4" fontId="68" fillId="0" borderId="58" xfId="3" applyNumberFormat="1" applyFont="1" applyFill="1" applyBorder="1" applyAlignment="1" applyProtection="1">
      <alignment horizontal="left" vertical="center"/>
    </xf>
    <xf numFmtId="166" fontId="39" fillId="0" borderId="30" xfId="3" applyNumberFormat="1" applyFont="1" applyFill="1" applyBorder="1" applyAlignment="1" applyProtection="1">
      <alignment horizontal="right" vertical="center"/>
    </xf>
    <xf numFmtId="4" fontId="47" fillId="0" borderId="30" xfId="3" applyNumberFormat="1" applyFont="1" applyFill="1" applyBorder="1" applyAlignment="1" applyProtection="1">
      <alignment horizontal="center" vertical="center"/>
    </xf>
    <xf numFmtId="0" fontId="49" fillId="0" borderId="30" xfId="3" applyFont="1" applyFill="1" applyBorder="1" applyAlignment="1" applyProtection="1">
      <alignment horizontal="center" vertical="center"/>
    </xf>
    <xf numFmtId="4" fontId="51" fillId="0" borderId="60" xfId="3" applyNumberFormat="1" applyFont="1" applyFill="1" applyBorder="1" applyAlignment="1" applyProtection="1">
      <alignment vertical="center" shrinkToFit="1"/>
    </xf>
    <xf numFmtId="3" fontId="39" fillId="0" borderId="31" xfId="3" applyNumberFormat="1" applyFont="1" applyFill="1" applyBorder="1" applyAlignment="1" applyProtection="1">
      <alignment horizontal="center" vertical="center"/>
    </xf>
    <xf numFmtId="4" fontId="68" fillId="0" borderId="31" xfId="3" applyNumberFormat="1" applyFont="1" applyFill="1" applyBorder="1" applyAlignment="1" applyProtection="1">
      <alignment horizontal="left" vertical="center"/>
    </xf>
    <xf numFmtId="4" fontId="5" fillId="0" borderId="0" xfId="3" applyNumberFormat="1" applyFont="1" applyFill="1" applyBorder="1" applyAlignment="1" applyProtection="1">
      <alignment vertical="center" shrinkToFit="1"/>
    </xf>
    <xf numFmtId="169" fontId="5" fillId="0" borderId="0" xfId="3" applyNumberFormat="1" applyFont="1" applyFill="1" applyBorder="1" applyAlignment="1" applyProtection="1">
      <alignment horizontal="center" vertical="center"/>
    </xf>
    <xf numFmtId="4" fontId="5" fillId="0" borderId="0" xfId="3" applyNumberFormat="1" applyFont="1" applyFill="1" applyBorder="1" applyAlignment="1" applyProtection="1">
      <alignment horizontal="center" vertical="center"/>
    </xf>
    <xf numFmtId="4" fontId="5" fillId="0" borderId="0" xfId="3" applyNumberFormat="1" applyFont="1" applyFill="1" applyBorder="1" applyAlignment="1" applyProtection="1">
      <alignment horizontal="left" vertical="center"/>
    </xf>
    <xf numFmtId="0" fontId="5" fillId="0" borderId="0" xfId="3" applyFont="1" applyFill="1" applyBorder="1" applyAlignment="1" applyProtection="1">
      <alignment horizontal="left" vertical="center" shrinkToFit="1"/>
    </xf>
    <xf numFmtId="4" fontId="5" fillId="0" borderId="0" xfId="3" applyNumberFormat="1" applyFont="1" applyFill="1" applyBorder="1" applyAlignment="1" applyProtection="1">
      <alignment horizontal="right" vertical="center"/>
    </xf>
    <xf numFmtId="4" fontId="11" fillId="0" borderId="0" xfId="3" applyNumberFormat="1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horizontal="center" vertical="center"/>
    </xf>
    <xf numFmtId="4" fontId="5" fillId="0" borderId="0" xfId="3" applyNumberFormat="1" applyFont="1" applyFill="1" applyBorder="1" applyAlignment="1" applyProtection="1">
      <alignment horizontal="center" vertical="center" shrinkToFit="1"/>
    </xf>
    <xf numFmtId="0" fontId="23" fillId="0" borderId="0" xfId="3" applyNumberFormat="1" applyFont="1" applyFill="1" applyBorder="1" applyAlignment="1" applyProtection="1">
      <alignment horizontal="center" vertical="center" shrinkToFit="1"/>
    </xf>
    <xf numFmtId="1" fontId="23" fillId="0" borderId="0" xfId="3" applyNumberFormat="1" applyFont="1" applyFill="1" applyBorder="1" applyAlignment="1" applyProtection="1">
      <alignment horizontal="center" vertical="center" shrinkToFit="1"/>
    </xf>
    <xf numFmtId="166" fontId="0" fillId="0" borderId="0" xfId="0" applyNumberFormat="1" applyBorder="1" applyProtection="1"/>
    <xf numFmtId="4" fontId="39" fillId="0" borderId="0" xfId="3" applyNumberFormat="1" applyFont="1" applyFill="1" applyBorder="1" applyAlignment="1" applyProtection="1">
      <alignment horizontal="right" vertical="center" shrinkToFit="1"/>
    </xf>
    <xf numFmtId="0" fontId="50" fillId="0" borderId="30" xfId="0" applyFont="1" applyFill="1" applyBorder="1" applyAlignment="1" applyProtection="1">
      <alignment vertical="center"/>
    </xf>
    <xf numFmtId="166" fontId="0" fillId="0" borderId="30" xfId="0" applyNumberFormat="1" applyFill="1" applyBorder="1" applyAlignment="1" applyProtection="1">
      <alignment vertical="center"/>
    </xf>
    <xf numFmtId="166" fontId="41" fillId="0" borderId="30" xfId="0" applyNumberFormat="1" applyFont="1" applyFill="1" applyBorder="1" applyAlignment="1" applyProtection="1">
      <alignment vertical="center"/>
    </xf>
    <xf numFmtId="0" fontId="39" fillId="0" borderId="30" xfId="3" applyNumberFormat="1" applyFont="1" applyFill="1" applyBorder="1" applyAlignment="1" applyProtection="1">
      <alignment horizontal="center" vertical="center"/>
    </xf>
    <xf numFmtId="0" fontId="39" fillId="0" borderId="64" xfId="3" applyNumberFormat="1" applyFont="1" applyFill="1" applyBorder="1" applyAlignment="1" applyProtection="1">
      <alignment horizontal="center" vertical="center"/>
    </xf>
    <xf numFmtId="49" fontId="5" fillId="0" borderId="58" xfId="3" applyNumberFormat="1" applyFont="1" applyFill="1" applyBorder="1" applyAlignment="1" applyProtection="1">
      <alignment horizontal="center" vertical="center" shrinkToFit="1"/>
    </xf>
    <xf numFmtId="4" fontId="32" fillId="0" borderId="66" xfId="3" applyNumberFormat="1" applyFont="1" applyFill="1" applyBorder="1" applyAlignment="1" applyProtection="1">
      <alignment vertical="center" shrinkToFit="1"/>
    </xf>
    <xf numFmtId="0" fontId="33" fillId="0" borderId="67" xfId="3" applyFont="1" applyFill="1" applyBorder="1" applyAlignment="1" applyProtection="1">
      <alignment horizontal="center" vertical="center" shrinkToFit="1"/>
    </xf>
    <xf numFmtId="0" fontId="32" fillId="0" borderId="67" xfId="3" applyFont="1" applyFill="1" applyBorder="1" applyAlignment="1" applyProtection="1">
      <alignment horizontal="center" vertical="center" shrinkToFit="1"/>
    </xf>
    <xf numFmtId="0" fontId="34" fillId="0" borderId="67" xfId="0" applyFont="1" applyFill="1" applyBorder="1" applyAlignment="1">
      <alignment horizontal="left" indent="1"/>
    </xf>
    <xf numFmtId="4" fontId="32" fillId="0" borderId="67" xfId="3" applyNumberFormat="1" applyFont="1" applyFill="1" applyBorder="1" applyAlignment="1" applyProtection="1">
      <alignment horizontal="left" vertical="center" shrinkToFit="1"/>
    </xf>
    <xf numFmtId="3" fontId="32" fillId="0" borderId="67" xfId="3" applyNumberFormat="1" applyFont="1" applyFill="1" applyBorder="1" applyAlignment="1" applyProtection="1">
      <alignment horizontal="center" vertical="center" shrinkToFit="1"/>
    </xf>
    <xf numFmtId="2" fontId="34" fillId="0" borderId="67" xfId="0" applyNumberFormat="1" applyFont="1" applyFill="1" applyBorder="1" applyAlignment="1">
      <alignment horizontal="right" vertical="center"/>
    </xf>
    <xf numFmtId="0" fontId="35" fillId="0" borderId="67" xfId="3" applyNumberFormat="1" applyFont="1" applyFill="1" applyBorder="1" applyAlignment="1" applyProtection="1">
      <alignment horizontal="center" vertical="center" shrinkToFit="1"/>
    </xf>
    <xf numFmtId="0" fontId="36" fillId="0" borderId="67" xfId="3" applyNumberFormat="1" applyFont="1" applyFill="1" applyBorder="1" applyAlignment="1" applyProtection="1">
      <alignment horizontal="center" vertical="center" shrinkToFit="1"/>
    </xf>
    <xf numFmtId="1" fontId="36" fillId="0" borderId="67" xfId="3" applyNumberFormat="1" applyFont="1" applyFill="1" applyBorder="1" applyAlignment="1" applyProtection="1">
      <alignment horizontal="center" vertical="center" shrinkToFit="1"/>
    </xf>
    <xf numFmtId="0" fontId="22" fillId="0" borderId="67" xfId="0" applyFont="1" applyFill="1" applyBorder="1" applyAlignment="1" applyProtection="1">
      <alignment vertical="center"/>
    </xf>
    <xf numFmtId="4" fontId="32" fillId="0" borderId="55" xfId="3" applyNumberFormat="1" applyFont="1" applyFill="1" applyBorder="1" applyAlignment="1" applyProtection="1">
      <alignment vertical="center" shrinkToFit="1"/>
    </xf>
    <xf numFmtId="4" fontId="32" fillId="0" borderId="57" xfId="3" applyNumberFormat="1" applyFont="1" applyFill="1" applyBorder="1" applyAlignment="1" applyProtection="1">
      <alignment vertical="center" shrinkToFit="1"/>
    </xf>
    <xf numFmtId="0" fontId="33" fillId="0" borderId="58" xfId="3" applyFont="1" applyFill="1" applyBorder="1" applyAlignment="1" applyProtection="1">
      <alignment horizontal="center" vertical="center" shrinkToFit="1"/>
    </xf>
    <xf numFmtId="0" fontId="32" fillId="0" borderId="58" xfId="3" applyFont="1" applyFill="1" applyBorder="1" applyAlignment="1" applyProtection="1">
      <alignment horizontal="center" vertical="center" shrinkToFit="1"/>
    </xf>
    <xf numFmtId="0" fontId="34" fillId="0" borderId="58" xfId="0" applyFont="1" applyFill="1" applyBorder="1" applyAlignment="1">
      <alignment horizontal="left" indent="1"/>
    </xf>
    <xf numFmtId="4" fontId="32" fillId="0" borderId="58" xfId="3" applyNumberFormat="1" applyFont="1" applyFill="1" applyBorder="1" applyAlignment="1" applyProtection="1">
      <alignment horizontal="left" vertical="center" shrinkToFit="1"/>
    </xf>
    <xf numFmtId="3" fontId="32" fillId="0" borderId="58" xfId="3" applyNumberFormat="1" applyFont="1" applyFill="1" applyBorder="1" applyAlignment="1" applyProtection="1">
      <alignment horizontal="center" vertical="center" shrinkToFit="1"/>
    </xf>
    <xf numFmtId="2" fontId="34" fillId="0" borderId="58" xfId="0" applyNumberFormat="1" applyFont="1" applyFill="1" applyBorder="1" applyAlignment="1">
      <alignment horizontal="right" vertical="center"/>
    </xf>
    <xf numFmtId="0" fontId="35" fillId="0" borderId="58" xfId="3" applyNumberFormat="1" applyFont="1" applyFill="1" applyBorder="1" applyAlignment="1" applyProtection="1">
      <alignment horizontal="center" vertical="center" shrinkToFit="1"/>
    </xf>
    <xf numFmtId="0" fontId="36" fillId="0" borderId="58" xfId="3" applyNumberFormat="1" applyFont="1" applyFill="1" applyBorder="1" applyAlignment="1" applyProtection="1">
      <alignment horizontal="center" vertical="center" shrinkToFit="1"/>
    </xf>
    <xf numFmtId="1" fontId="36" fillId="0" borderId="58" xfId="3" applyNumberFormat="1" applyFont="1" applyFill="1" applyBorder="1" applyAlignment="1" applyProtection="1">
      <alignment horizontal="center" vertical="center" shrinkToFit="1"/>
    </xf>
    <xf numFmtId="0" fontId="22" fillId="0" borderId="58" xfId="0" applyFont="1" applyFill="1" applyBorder="1" applyAlignment="1" applyProtection="1">
      <alignment vertical="center"/>
    </xf>
    <xf numFmtId="4" fontId="5" fillId="0" borderId="0" xfId="3" applyNumberFormat="1"/>
    <xf numFmtId="0" fontId="0" fillId="0" borderId="0" xfId="0" applyFont="1" applyFill="1" applyAlignment="1">
      <alignment vertical="top"/>
    </xf>
    <xf numFmtId="0" fontId="5" fillId="0" borderId="67" xfId="3" applyFont="1" applyFill="1" applyBorder="1" applyAlignment="1" applyProtection="1">
      <alignment horizontal="left" vertical="center" shrinkToFit="1"/>
    </xf>
    <xf numFmtId="0" fontId="7" fillId="0" borderId="31" xfId="3" applyNumberFormat="1" applyFont="1" applyFill="1" applyBorder="1" applyAlignment="1" applyProtection="1">
      <alignment horizontal="center" vertical="center"/>
    </xf>
    <xf numFmtId="169" fontId="7" fillId="0" borderId="58" xfId="3" applyNumberFormat="1" applyFont="1" applyFill="1" applyBorder="1" applyAlignment="1" applyProtection="1">
      <alignment horizontal="center" vertical="center"/>
    </xf>
    <xf numFmtId="4" fontId="7" fillId="0" borderId="58" xfId="3" applyNumberFormat="1" applyFont="1" applyFill="1" applyBorder="1" applyAlignment="1" applyProtection="1">
      <alignment horizontal="center" vertical="center"/>
    </xf>
    <xf numFmtId="4" fontId="7" fillId="0" borderId="58" xfId="3" applyNumberFormat="1" applyFont="1" applyFill="1" applyBorder="1" applyAlignment="1" applyProtection="1">
      <alignment horizontal="left" vertical="center"/>
    </xf>
    <xf numFmtId="4" fontId="7" fillId="0" borderId="58" xfId="3" applyNumberFormat="1" applyFont="1" applyFill="1" applyBorder="1" applyAlignment="1" applyProtection="1">
      <alignment horizontal="right" vertical="center"/>
    </xf>
    <xf numFmtId="0" fontId="65" fillId="0" borderId="58" xfId="3" applyNumberFormat="1" applyFont="1" applyFill="1" applyBorder="1" applyAlignment="1" applyProtection="1">
      <alignment horizontal="center" vertical="center"/>
    </xf>
    <xf numFmtId="0" fontId="7" fillId="0" borderId="58" xfId="3" applyFont="1" applyFill="1" applyBorder="1" applyAlignment="1" applyProtection="1">
      <alignment horizontal="center" vertical="center"/>
    </xf>
    <xf numFmtId="0" fontId="7" fillId="0" borderId="58" xfId="3" applyNumberFormat="1" applyFont="1" applyFill="1" applyBorder="1" applyAlignment="1" applyProtection="1">
      <alignment horizontal="center" vertical="center"/>
    </xf>
    <xf numFmtId="0" fontId="39" fillId="4" borderId="31" xfId="3" applyNumberFormat="1" applyFont="1" applyFill="1" applyBorder="1" applyAlignment="1" applyProtection="1">
      <alignment horizontal="center" vertical="center"/>
    </xf>
    <xf numFmtId="0" fontId="5" fillId="4" borderId="31" xfId="3" applyFont="1" applyFill="1" applyBorder="1" applyAlignment="1" applyProtection="1">
      <alignment horizontal="left" vertical="center" shrinkToFit="1"/>
    </xf>
    <xf numFmtId="0" fontId="69" fillId="0" borderId="30" xfId="3" applyFont="1" applyFill="1" applyBorder="1" applyAlignment="1" applyProtection="1">
      <alignment horizontal="center" vertical="center" shrinkToFit="1"/>
    </xf>
    <xf numFmtId="0" fontId="5" fillId="4" borderId="64" xfId="3" applyFont="1" applyFill="1" applyBorder="1" applyAlignment="1" applyProtection="1">
      <alignment horizontal="left" vertical="center" shrinkToFit="1"/>
    </xf>
    <xf numFmtId="0" fontId="37" fillId="0" borderId="30" xfId="0" applyFont="1" applyBorder="1" applyAlignment="1" applyProtection="1">
      <alignment vertical="center"/>
    </xf>
    <xf numFmtId="168" fontId="5" fillId="0" borderId="30" xfId="6" applyNumberFormat="1" applyFont="1" applyFill="1" applyBorder="1" applyAlignment="1" applyProtection="1">
      <alignment horizontal="right" vertical="center" shrinkToFit="1"/>
    </xf>
    <xf numFmtId="172" fontId="37" fillId="0" borderId="30" xfId="0" applyNumberFormat="1" applyFont="1" applyBorder="1" applyAlignment="1" applyProtection="1">
      <alignment vertical="center"/>
    </xf>
    <xf numFmtId="166" fontId="64" fillId="0" borderId="30" xfId="0" applyNumberFormat="1" applyFont="1" applyBorder="1" applyAlignment="1" applyProtection="1">
      <alignment vertical="center"/>
    </xf>
    <xf numFmtId="165" fontId="5" fillId="0" borderId="30" xfId="3" applyNumberFormat="1" applyFont="1" applyFill="1" applyBorder="1" applyAlignment="1" applyProtection="1">
      <alignment horizontal="right" vertical="center" shrinkToFit="1"/>
    </xf>
    <xf numFmtId="166" fontId="0" fillId="0" borderId="58" xfId="0" applyNumberFormat="1" applyFill="1" applyBorder="1" applyProtection="1"/>
    <xf numFmtId="4" fontId="51" fillId="4" borderId="55" xfId="3" applyNumberFormat="1" applyFont="1" applyFill="1" applyBorder="1" applyAlignment="1" applyProtection="1">
      <alignment vertical="center" shrinkToFit="1"/>
    </xf>
    <xf numFmtId="0" fontId="52" fillId="4" borderId="30" xfId="3" applyFont="1" applyFill="1" applyBorder="1" applyAlignment="1" applyProtection="1">
      <alignment horizontal="center" vertical="center" shrinkToFit="1"/>
    </xf>
    <xf numFmtId="0" fontId="51" fillId="4" borderId="30" xfId="3" applyFont="1" applyFill="1" applyBorder="1" applyAlignment="1" applyProtection="1">
      <alignment horizontal="center" vertical="center" shrinkToFit="1"/>
    </xf>
    <xf numFmtId="0" fontId="51" fillId="4" borderId="30" xfId="3" applyFont="1" applyFill="1" applyBorder="1" applyAlignment="1" applyProtection="1">
      <alignment horizontal="left" vertical="center" shrinkToFit="1"/>
    </xf>
    <xf numFmtId="3" fontId="51" fillId="4" borderId="30" xfId="3" applyNumberFormat="1" applyFont="1" applyFill="1" applyBorder="1" applyAlignment="1" applyProtection="1">
      <alignment horizontal="center" vertical="center" shrinkToFit="1"/>
    </xf>
    <xf numFmtId="0" fontId="51" fillId="4" borderId="30" xfId="3" applyFont="1" applyFill="1" applyBorder="1" applyAlignment="1" applyProtection="1">
      <alignment horizontal="right" vertical="center" shrinkToFit="1"/>
    </xf>
    <xf numFmtId="0" fontId="54" fillId="4" borderId="30" xfId="3" applyNumberFormat="1" applyFont="1" applyFill="1" applyBorder="1" applyAlignment="1" applyProtection="1">
      <alignment horizontal="center" vertical="center" shrinkToFit="1"/>
    </xf>
    <xf numFmtId="0" fontId="55" fillId="4" borderId="30" xfId="3" applyNumberFormat="1" applyFont="1" applyFill="1" applyBorder="1" applyAlignment="1" applyProtection="1">
      <alignment horizontal="center" vertical="center" shrinkToFit="1"/>
    </xf>
    <xf numFmtId="172" fontId="57" fillId="4" borderId="30" xfId="0" applyNumberFormat="1" applyFont="1" applyFill="1" applyBorder="1" applyAlignment="1" applyProtection="1">
      <alignment vertical="center"/>
    </xf>
    <xf numFmtId="168" fontId="51" fillId="4" borderId="30" xfId="6" applyNumberFormat="1" applyFont="1" applyFill="1" applyBorder="1" applyAlignment="1" applyProtection="1">
      <alignment horizontal="right" vertical="center" shrinkToFit="1"/>
    </xf>
    <xf numFmtId="2" fontId="23" fillId="0" borderId="58" xfId="3" applyNumberFormat="1" applyFont="1" applyFill="1" applyBorder="1" applyAlignment="1" applyProtection="1">
      <alignment horizontal="center" vertical="center" shrinkToFit="1"/>
    </xf>
    <xf numFmtId="0" fontId="7" fillId="0" borderId="30" xfId="3" applyNumberFormat="1" applyFont="1" applyFill="1" applyBorder="1" applyAlignment="1" applyProtection="1">
      <alignment horizontal="center" vertical="center"/>
    </xf>
    <xf numFmtId="0" fontId="0" fillId="0" borderId="0" xfId="0" applyFont="1" applyFill="1" applyAlignment="1">
      <alignment horizontal="left" vertical="top"/>
    </xf>
    <xf numFmtId="4" fontId="29" fillId="4" borderId="30" xfId="0" applyNumberFormat="1" applyFont="1" applyFill="1" applyBorder="1" applyAlignment="1" applyProtection="1">
      <alignment vertical="center"/>
    </xf>
    <xf numFmtId="0" fontId="5" fillId="0" borderId="30" xfId="3" applyNumberFormat="1" applyFont="1" applyFill="1" applyBorder="1" applyAlignment="1" applyProtection="1">
      <alignment horizontal="center" vertical="center"/>
    </xf>
    <xf numFmtId="0" fontId="39" fillId="4" borderId="30" xfId="3" applyNumberFormat="1" applyFont="1" applyFill="1" applyBorder="1" applyAlignment="1" applyProtection="1">
      <alignment horizontal="center" vertical="center"/>
    </xf>
    <xf numFmtId="0" fontId="5" fillId="4" borderId="30" xfId="3" applyFont="1" applyFill="1" applyBorder="1" applyAlignment="1" applyProtection="1">
      <alignment horizontal="left" vertical="center" shrinkToFit="1"/>
    </xf>
    <xf numFmtId="172" fontId="23" fillId="0" borderId="30" xfId="3" applyNumberFormat="1" applyFont="1" applyFill="1" applyBorder="1" applyAlignment="1" applyProtection="1">
      <alignment horizontal="center" vertical="center" shrinkToFit="1"/>
    </xf>
    <xf numFmtId="2" fontId="4" fillId="0" borderId="20" xfId="2" applyNumberFormat="1" applyFont="1" applyBorder="1" applyAlignment="1" applyProtection="1">
      <alignment horizontal="left" vertical="center" wrapText="1" indent="1"/>
    </xf>
    <xf numFmtId="4" fontId="4" fillId="4" borderId="58" xfId="3" applyNumberFormat="1" applyFont="1" applyFill="1" applyBorder="1" applyAlignment="1" applyProtection="1">
      <alignment horizontal="center" vertical="center" shrinkToFit="1"/>
    </xf>
    <xf numFmtId="4" fontId="15" fillId="4" borderId="56" xfId="3" applyNumberFormat="1" applyFont="1" applyFill="1" applyBorder="1" applyAlignment="1" applyProtection="1">
      <alignment horizontal="right" vertical="center" shrinkToFit="1"/>
    </xf>
    <xf numFmtId="4" fontId="39" fillId="0" borderId="75" xfId="3" applyNumberFormat="1" applyFont="1" applyFill="1" applyBorder="1" applyAlignment="1" applyProtection="1">
      <alignment horizontal="right" vertical="center" shrinkToFit="1"/>
    </xf>
    <xf numFmtId="0" fontId="65" fillId="3" borderId="30" xfId="3" applyFont="1" applyFill="1" applyBorder="1" applyAlignment="1" applyProtection="1">
      <alignment horizontal="left" vertical="center"/>
    </xf>
    <xf numFmtId="4" fontId="47" fillId="0" borderId="56" xfId="3" applyNumberFormat="1" applyFont="1" applyFill="1" applyBorder="1" applyAlignment="1" applyProtection="1">
      <alignment horizontal="right" vertical="center" shrinkToFit="1"/>
    </xf>
    <xf numFmtId="4" fontId="44" fillId="0" borderId="56" xfId="6" applyNumberFormat="1" applyFont="1" applyFill="1" applyBorder="1" applyAlignment="1" applyProtection="1">
      <alignment horizontal="right" vertical="center" shrinkToFit="1"/>
    </xf>
    <xf numFmtId="4" fontId="11" fillId="0" borderId="56" xfId="3" applyNumberFormat="1" applyFont="1" applyFill="1" applyBorder="1" applyAlignment="1" applyProtection="1">
      <alignment horizontal="right" vertical="center" shrinkToFit="1"/>
    </xf>
    <xf numFmtId="4" fontId="47" fillId="0" borderId="56" xfId="6" applyNumberFormat="1" applyFont="1" applyFill="1" applyBorder="1" applyAlignment="1" applyProtection="1">
      <alignment horizontal="right" vertical="center" shrinkToFit="1"/>
    </xf>
    <xf numFmtId="4" fontId="54" fillId="4" borderId="56" xfId="6" applyNumberFormat="1" applyFont="1" applyFill="1" applyBorder="1" applyAlignment="1" applyProtection="1">
      <alignment horizontal="right" vertical="center" shrinkToFit="1"/>
    </xf>
    <xf numFmtId="4" fontId="11" fillId="0" borderId="56" xfId="6" applyNumberFormat="1" applyFont="1" applyFill="1" applyBorder="1" applyAlignment="1" applyProtection="1">
      <alignment horizontal="right" vertical="center" shrinkToFit="1"/>
    </xf>
    <xf numFmtId="4" fontId="5" fillId="0" borderId="56" xfId="6" applyNumberFormat="1" applyFont="1" applyFill="1" applyBorder="1" applyAlignment="1" applyProtection="1">
      <alignment horizontal="right" vertical="center" shrinkToFit="1"/>
    </xf>
    <xf numFmtId="4" fontId="39" fillId="0" borderId="56" xfId="6" applyNumberFormat="1" applyFont="1" applyFill="1" applyBorder="1" applyAlignment="1" applyProtection="1">
      <alignment horizontal="right" vertical="center" shrinkToFit="1"/>
    </xf>
    <xf numFmtId="4" fontId="7" fillId="0" borderId="56" xfId="6" applyNumberFormat="1" applyFont="1" applyFill="1" applyBorder="1" applyAlignment="1" applyProtection="1">
      <alignment horizontal="right" vertical="center" shrinkToFit="1"/>
    </xf>
    <xf numFmtId="4" fontId="39" fillId="0" borderId="59" xfId="6" applyNumberFormat="1" applyFont="1" applyFill="1" applyBorder="1" applyAlignment="1" applyProtection="1">
      <alignment horizontal="right" vertical="center" shrinkToFit="1"/>
    </xf>
    <xf numFmtId="4" fontId="73" fillId="4" borderId="56" xfId="6" applyNumberFormat="1" applyFont="1" applyFill="1" applyBorder="1" applyAlignment="1" applyProtection="1">
      <alignment horizontal="right" vertical="center" shrinkToFit="1"/>
    </xf>
    <xf numFmtId="0" fontId="47" fillId="0" borderId="31" xfId="3" applyFont="1" applyFill="1" applyBorder="1" applyAlignment="1" applyProtection="1">
      <alignment horizontal="center" vertical="center" shrinkToFit="1"/>
    </xf>
    <xf numFmtId="0" fontId="50" fillId="0" borderId="31" xfId="0" applyFont="1" applyBorder="1" applyAlignment="1" applyProtection="1">
      <alignment vertical="center"/>
    </xf>
    <xf numFmtId="168" fontId="7" fillId="0" borderId="31" xfId="6" applyNumberFormat="1" applyFont="1" applyFill="1" applyBorder="1" applyAlignment="1" applyProtection="1">
      <alignment horizontal="right" vertical="center" shrinkToFit="1"/>
    </xf>
    <xf numFmtId="4" fontId="47" fillId="0" borderId="61" xfId="6" applyNumberFormat="1" applyFont="1" applyFill="1" applyBorder="1" applyAlignment="1" applyProtection="1">
      <alignment horizontal="right" vertical="center" shrinkToFit="1"/>
    </xf>
    <xf numFmtId="4" fontId="44" fillId="0" borderId="61" xfId="3" applyNumberFormat="1" applyFont="1" applyFill="1" applyBorder="1" applyAlignment="1" applyProtection="1">
      <alignment horizontal="right" vertical="center" shrinkToFit="1"/>
    </xf>
    <xf numFmtId="166" fontId="64" fillId="0" borderId="31" xfId="0" applyNumberFormat="1" applyFont="1" applyBorder="1" applyAlignment="1" applyProtection="1">
      <alignment vertical="center"/>
    </xf>
    <xf numFmtId="168" fontId="5" fillId="0" borderId="31" xfId="6" applyNumberFormat="1" applyFont="1" applyFill="1" applyBorder="1" applyAlignment="1" applyProtection="1">
      <alignment horizontal="right" vertical="center" shrinkToFit="1"/>
    </xf>
    <xf numFmtId="4" fontId="5" fillId="0" borderId="61" xfId="6" applyNumberFormat="1" applyFont="1" applyFill="1" applyBorder="1" applyAlignment="1" applyProtection="1">
      <alignment horizontal="right" vertical="center" shrinkToFit="1"/>
    </xf>
    <xf numFmtId="0" fontId="39" fillId="0" borderId="31" xfId="3" applyFont="1" applyFill="1" applyBorder="1" applyAlignment="1" applyProtection="1">
      <alignment horizontal="left" vertical="center" shrinkToFit="1"/>
    </xf>
    <xf numFmtId="168" fontId="39" fillId="0" borderId="31" xfId="6" applyNumberFormat="1" applyFont="1" applyFill="1" applyBorder="1" applyAlignment="1" applyProtection="1">
      <alignment horizontal="right" vertical="center" shrinkToFit="1"/>
    </xf>
    <xf numFmtId="4" fontId="39" fillId="0" borderId="61" xfId="6" applyNumberFormat="1" applyFont="1" applyFill="1" applyBorder="1" applyAlignment="1" applyProtection="1">
      <alignment horizontal="right" vertical="center" shrinkToFit="1"/>
    </xf>
    <xf numFmtId="4" fontId="44" fillId="0" borderId="75" xfId="3" applyNumberFormat="1" applyFont="1" applyFill="1" applyBorder="1" applyAlignment="1" applyProtection="1">
      <alignment horizontal="right" vertical="center" shrinkToFit="1"/>
    </xf>
    <xf numFmtId="4" fontId="5" fillId="0" borderId="52" xfId="3" applyNumberFormat="1" applyFont="1" applyFill="1" applyBorder="1" applyAlignment="1" applyProtection="1">
      <alignment horizontal="right" vertical="center" shrinkToFit="1"/>
    </xf>
    <xf numFmtId="4" fontId="5" fillId="0" borderId="47" xfId="3" applyNumberFormat="1" applyFont="1" applyFill="1" applyBorder="1" applyAlignment="1" applyProtection="1">
      <alignment horizontal="right" vertical="center" shrinkToFit="1"/>
    </xf>
    <xf numFmtId="4" fontId="5" fillId="0" borderId="30" xfId="6" applyNumberFormat="1" applyFont="1" applyFill="1" applyBorder="1" applyAlignment="1" applyProtection="1">
      <alignment horizontal="right" vertical="center" shrinkToFit="1"/>
    </xf>
    <xf numFmtId="4" fontId="5" fillId="0" borderId="47" xfId="6" applyNumberFormat="1" applyFont="1" applyFill="1" applyBorder="1" applyAlignment="1" applyProtection="1">
      <alignment horizontal="right" vertical="center" shrinkToFit="1"/>
    </xf>
    <xf numFmtId="4" fontId="5" fillId="0" borderId="50" xfId="6" applyNumberFormat="1" applyFont="1" applyFill="1" applyBorder="1" applyAlignment="1" applyProtection="1">
      <alignment horizontal="right" vertical="center" shrinkToFit="1"/>
    </xf>
    <xf numFmtId="4" fontId="5" fillId="0" borderId="51" xfId="6" applyNumberFormat="1" applyFont="1" applyFill="1" applyBorder="1" applyAlignment="1" applyProtection="1">
      <alignment horizontal="right" vertical="center" shrinkToFit="1"/>
    </xf>
    <xf numFmtId="4" fontId="5" fillId="0" borderId="76" xfId="3" applyNumberFormat="1" applyFont="1" applyFill="1" applyBorder="1" applyAlignment="1" applyProtection="1">
      <alignment horizontal="right" vertical="center" shrinkToFit="1"/>
    </xf>
    <xf numFmtId="4" fontId="32" fillId="0" borderId="67" xfId="3" applyNumberFormat="1" applyFont="1" applyFill="1" applyBorder="1" applyAlignment="1" applyProtection="1">
      <alignment horizontal="right" vertical="center" shrinkToFit="1"/>
    </xf>
    <xf numFmtId="4" fontId="35" fillId="0" borderId="68" xfId="3" applyNumberFormat="1" applyFont="1" applyFill="1" applyBorder="1" applyAlignment="1" applyProtection="1">
      <alignment horizontal="right" vertical="center" shrinkToFit="1"/>
    </xf>
    <xf numFmtId="4" fontId="32" fillId="0" borderId="30" xfId="3" applyNumberFormat="1" applyFont="1" applyFill="1" applyBorder="1" applyAlignment="1" applyProtection="1">
      <alignment horizontal="right" vertical="center" shrinkToFit="1"/>
    </xf>
    <xf numFmtId="4" fontId="35" fillId="0" borderId="56" xfId="3" applyNumberFormat="1" applyFont="1" applyFill="1" applyBorder="1" applyAlignment="1" applyProtection="1">
      <alignment horizontal="right" vertical="center" shrinkToFit="1"/>
    </xf>
    <xf numFmtId="4" fontId="32" fillId="0" borderId="58" xfId="3" applyNumberFormat="1" applyFont="1" applyFill="1" applyBorder="1" applyAlignment="1" applyProtection="1">
      <alignment horizontal="right" vertical="center" shrinkToFit="1"/>
    </xf>
    <xf numFmtId="4" fontId="35" fillId="0" borderId="59" xfId="3" applyNumberFormat="1" applyFont="1" applyFill="1" applyBorder="1" applyAlignment="1" applyProtection="1">
      <alignment horizontal="right" vertical="center" shrinkToFit="1"/>
    </xf>
    <xf numFmtId="4" fontId="5" fillId="0" borderId="56" xfId="3" applyNumberFormat="1" applyFont="1" applyFill="1" applyBorder="1" applyAlignment="1" applyProtection="1">
      <alignment horizontal="right" vertical="center" shrinkToFit="1"/>
    </xf>
    <xf numFmtId="0" fontId="33" fillId="0" borderId="31" xfId="3" applyFont="1" applyFill="1" applyBorder="1" applyAlignment="1" applyProtection="1">
      <alignment horizontal="center" vertical="center" shrinkToFit="1"/>
    </xf>
    <xf numFmtId="4" fontId="7" fillId="4" borderId="56" xfId="3" applyNumberFormat="1" applyFont="1" applyFill="1" applyBorder="1" applyAlignment="1" applyProtection="1">
      <alignment horizontal="right" vertical="center" shrinkToFit="1"/>
    </xf>
    <xf numFmtId="44" fontId="0" fillId="0" borderId="79" xfId="6" applyFont="1" applyBorder="1" applyAlignment="1" applyProtection="1">
      <alignment vertical="center"/>
    </xf>
    <xf numFmtId="44" fontId="19" fillId="5" borderId="17" xfId="6" applyFont="1" applyFill="1" applyBorder="1" applyAlignment="1" applyProtection="1">
      <alignment vertical="center"/>
    </xf>
    <xf numFmtId="0" fontId="0" fillId="0" borderId="82" xfId="0" applyBorder="1" applyAlignment="1" applyProtection="1">
      <alignment vertical="center"/>
    </xf>
    <xf numFmtId="0" fontId="19" fillId="5" borderId="83" xfId="0" applyFont="1" applyFill="1" applyBorder="1" applyAlignment="1" applyProtection="1">
      <alignment vertical="center"/>
    </xf>
    <xf numFmtId="0" fontId="0" fillId="0" borderId="84" xfId="0" applyBorder="1" applyAlignment="1" applyProtection="1">
      <alignment vertical="center"/>
    </xf>
    <xf numFmtId="44" fontId="0" fillId="0" borderId="85" xfId="6" applyFont="1" applyBorder="1" applyAlignment="1" applyProtection="1">
      <alignment vertical="center"/>
    </xf>
    <xf numFmtId="44" fontId="0" fillId="0" borderId="86" xfId="6" applyFont="1" applyBorder="1" applyAlignment="1" applyProtection="1">
      <alignment vertical="center"/>
    </xf>
    <xf numFmtId="0" fontId="0" fillId="0" borderId="81" xfId="0" applyBorder="1" applyAlignment="1" applyProtection="1">
      <alignment vertical="center"/>
    </xf>
    <xf numFmtId="44" fontId="0" fillId="0" borderId="12" xfId="6" applyFont="1" applyBorder="1" applyAlignment="1" applyProtection="1">
      <alignment vertical="center"/>
    </xf>
    <xf numFmtId="44" fontId="0" fillId="0" borderId="87" xfId="6" applyFont="1" applyBorder="1" applyAlignment="1" applyProtection="1">
      <alignment vertical="center"/>
    </xf>
    <xf numFmtId="0" fontId="0" fillId="0" borderId="88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2" fontId="5" fillId="3" borderId="9" xfId="2" applyNumberFormat="1" applyFont="1" applyFill="1" applyBorder="1" applyAlignment="1" applyProtection="1">
      <alignment horizontal="center" vertical="center" wrapText="1"/>
      <protection locked="0"/>
    </xf>
    <xf numFmtId="2" fontId="5" fillId="3" borderId="2" xfId="2" applyNumberFormat="1" applyFont="1" applyFill="1" applyBorder="1" applyAlignment="1" applyProtection="1">
      <alignment horizontal="center" vertical="center" wrapText="1"/>
      <protection locked="0"/>
    </xf>
    <xf numFmtId="2" fontId="5" fillId="3" borderId="6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1" applyNumberFormat="1" applyFont="1" applyAlignment="1" applyProtection="1">
      <alignment horizontal="left"/>
    </xf>
    <xf numFmtId="0" fontId="77" fillId="11" borderId="0" xfId="1" applyFont="1" applyFill="1" applyProtection="1"/>
    <xf numFmtId="4" fontId="21" fillId="11" borderId="0" xfId="1" applyNumberFormat="1" applyFont="1" applyFill="1" applyAlignment="1" applyProtection="1">
      <alignment horizontal="right"/>
    </xf>
    <xf numFmtId="0" fontId="5" fillId="6" borderId="1" xfId="1" applyFont="1" applyFill="1" applyBorder="1" applyAlignment="1" applyProtection="1">
      <alignment horizontal="center" vertical="center"/>
    </xf>
    <xf numFmtId="0" fontId="5" fillId="6" borderId="11" xfId="1" applyFont="1" applyFill="1" applyBorder="1" applyAlignment="1" applyProtection="1">
      <alignment horizontal="center" vertical="center"/>
    </xf>
    <xf numFmtId="0" fontId="5" fillId="6" borderId="2" xfId="1" applyFont="1" applyFill="1" applyBorder="1" applyAlignment="1" applyProtection="1">
      <alignment horizontal="center" vertical="center"/>
    </xf>
    <xf numFmtId="0" fontId="5" fillId="6" borderId="10" xfId="1" applyFont="1" applyFill="1" applyBorder="1" applyAlignment="1" applyProtection="1">
      <alignment horizontal="center" vertical="center"/>
    </xf>
    <xf numFmtId="0" fontId="5" fillId="6" borderId="35" xfId="1" applyFont="1" applyFill="1" applyBorder="1" applyAlignment="1" applyProtection="1">
      <alignment horizontal="center" vertical="center"/>
    </xf>
    <xf numFmtId="0" fontId="5" fillId="6" borderId="36" xfId="1" applyFont="1" applyFill="1" applyBorder="1" applyAlignment="1" applyProtection="1">
      <alignment horizontal="center" vertical="center"/>
    </xf>
    <xf numFmtId="0" fontId="5" fillId="6" borderId="6" xfId="1" applyFont="1" applyFill="1" applyBorder="1" applyAlignment="1" applyProtection="1">
      <alignment horizontal="center" vertical="center"/>
    </xf>
    <xf numFmtId="0" fontId="5" fillId="6" borderId="13" xfId="1" applyFont="1" applyFill="1" applyBorder="1" applyAlignment="1" applyProtection="1">
      <alignment horizontal="center" vertical="center"/>
    </xf>
    <xf numFmtId="0" fontId="2" fillId="6" borderId="0" xfId="1" applyFont="1" applyFill="1" applyAlignment="1" applyProtection="1">
      <alignment vertical="center"/>
    </xf>
    <xf numFmtId="0" fontId="2" fillId="6" borderId="0" xfId="1" applyFont="1" applyFill="1" applyAlignment="1" applyProtection="1">
      <alignment vertical="center" wrapText="1"/>
    </xf>
    <xf numFmtId="0" fontId="8" fillId="0" borderId="5" xfId="1" applyFont="1" applyBorder="1" applyProtection="1"/>
    <xf numFmtId="0" fontId="26" fillId="0" borderId="0" xfId="1" applyFont="1" applyAlignment="1" applyProtection="1">
      <alignment horizontal="left" vertical="center" wrapText="1"/>
    </xf>
    <xf numFmtId="4" fontId="12" fillId="2" borderId="21" xfId="3" applyNumberFormat="1" applyFont="1" applyFill="1" applyBorder="1" applyAlignment="1" applyProtection="1">
      <alignment horizontal="center" vertical="center" wrapText="1"/>
    </xf>
    <xf numFmtId="2" fontId="5" fillId="0" borderId="0" xfId="3" applyNumberFormat="1" applyProtection="1"/>
    <xf numFmtId="0" fontId="1" fillId="0" borderId="0" xfId="1" applyAlignment="1" applyProtection="1">
      <alignment horizontal="left"/>
    </xf>
    <xf numFmtId="0" fontId="21" fillId="0" borderId="0" xfId="1" applyFont="1" applyAlignment="1" applyProtection="1">
      <alignment horizontal="center"/>
    </xf>
    <xf numFmtId="0" fontId="1" fillId="0" borderId="0" xfId="1" applyFill="1" applyAlignment="1" applyProtection="1">
      <alignment horizontal="left"/>
    </xf>
    <xf numFmtId="0" fontId="1" fillId="7" borderId="15" xfId="1" applyFill="1" applyBorder="1" applyAlignment="1" applyProtection="1">
      <alignment horizontal="center" vertical="center" wrapText="1"/>
    </xf>
    <xf numFmtId="0" fontId="1" fillId="7" borderId="28" xfId="1" applyFill="1" applyBorder="1" applyAlignment="1" applyProtection="1">
      <alignment horizontal="center" vertical="center" wrapText="1"/>
    </xf>
    <xf numFmtId="0" fontId="1" fillId="7" borderId="89" xfId="1" applyFill="1" applyBorder="1" applyAlignment="1" applyProtection="1">
      <alignment horizontal="center" vertical="center" wrapText="1"/>
    </xf>
    <xf numFmtId="0" fontId="1" fillId="7" borderId="24" xfId="1" applyFill="1" applyBorder="1" applyAlignment="1" applyProtection="1">
      <alignment horizontal="center" vertical="center" wrapText="1"/>
    </xf>
    <xf numFmtId="0" fontId="1" fillId="7" borderId="7" xfId="1" applyFill="1" applyBorder="1" applyAlignment="1" applyProtection="1">
      <alignment horizontal="center" vertical="center" wrapText="1"/>
    </xf>
    <xf numFmtId="0" fontId="1" fillId="0" borderId="0" xfId="1" applyAlignment="1" applyProtection="1">
      <alignment horizontal="left" vertical="center"/>
    </xf>
    <xf numFmtId="1" fontId="1" fillId="0" borderId="18" xfId="1" applyNumberFormat="1" applyBorder="1" applyAlignment="1" applyProtection="1">
      <alignment horizontal="center" vertical="center"/>
    </xf>
    <xf numFmtId="0" fontId="1" fillId="0" borderId="90" xfId="1" applyBorder="1" applyAlignment="1" applyProtection="1">
      <alignment horizontal="center" vertical="center"/>
    </xf>
    <xf numFmtId="0" fontId="1" fillId="0" borderId="69" xfId="1" applyBorder="1" applyAlignment="1" applyProtection="1">
      <alignment horizontal="center" vertical="center"/>
    </xf>
    <xf numFmtId="0" fontId="1" fillId="0" borderId="72" xfId="1" applyBorder="1" applyAlignment="1" applyProtection="1">
      <alignment horizontal="center" vertical="center"/>
    </xf>
    <xf numFmtId="2" fontId="5" fillId="0" borderId="19" xfId="2" applyNumberFormat="1" applyFont="1" applyFill="1" applyBorder="1" applyAlignment="1" applyProtection="1">
      <alignment horizontal="center" vertical="center" wrapText="1"/>
    </xf>
    <xf numFmtId="2" fontId="5" fillId="0" borderId="22" xfId="2" applyNumberFormat="1" applyFont="1" applyFill="1" applyBorder="1" applyAlignment="1" applyProtection="1">
      <alignment horizontal="center" vertical="center" wrapText="1"/>
    </xf>
    <xf numFmtId="1" fontId="1" fillId="0" borderId="2" xfId="1" applyNumberFormat="1" applyBorder="1" applyAlignment="1" applyProtection="1">
      <alignment horizontal="center" vertical="center"/>
    </xf>
    <xf numFmtId="2" fontId="5" fillId="0" borderId="20" xfId="2" applyNumberFormat="1" applyFont="1" applyFill="1" applyBorder="1" applyAlignment="1" applyProtection="1">
      <alignment horizontal="center" vertical="center" wrapText="1"/>
    </xf>
    <xf numFmtId="2" fontId="5" fillId="0" borderId="91" xfId="2" applyNumberFormat="1" applyFont="1" applyFill="1" applyBorder="1" applyAlignment="1" applyProtection="1">
      <alignment horizontal="center" vertical="center" wrapText="1"/>
    </xf>
    <xf numFmtId="2" fontId="5" fillId="0" borderId="70" xfId="2" applyNumberFormat="1" applyFont="1" applyFill="1" applyBorder="1" applyAlignment="1" applyProtection="1">
      <alignment horizontal="center" vertical="center" wrapText="1"/>
    </xf>
    <xf numFmtId="0" fontId="5" fillId="0" borderId="70" xfId="2" applyFont="1" applyFill="1" applyBorder="1" applyAlignment="1" applyProtection="1">
      <alignment horizontal="center" vertical="center" wrapText="1"/>
    </xf>
    <xf numFmtId="164" fontId="5" fillId="0" borderId="73" xfId="3" applyNumberFormat="1" applyFont="1" applyBorder="1" applyAlignment="1" applyProtection="1">
      <alignment horizontal="center" vertical="center"/>
    </xf>
    <xf numFmtId="1" fontId="1" fillId="0" borderId="6" xfId="1" applyNumberFormat="1" applyBorder="1" applyAlignment="1" applyProtection="1">
      <alignment horizontal="center" vertical="center"/>
    </xf>
    <xf numFmtId="2" fontId="5" fillId="0" borderId="21" xfId="2" applyNumberFormat="1" applyFont="1" applyFill="1" applyBorder="1" applyAlignment="1" applyProtection="1">
      <alignment horizontal="center" vertical="center" wrapText="1"/>
    </xf>
    <xf numFmtId="2" fontId="5" fillId="0" borderId="92" xfId="2" applyNumberFormat="1" applyFont="1" applyFill="1" applyBorder="1" applyAlignment="1" applyProtection="1">
      <alignment horizontal="center" vertical="center" wrapText="1"/>
    </xf>
    <xf numFmtId="2" fontId="5" fillId="0" borderId="71" xfId="2" applyNumberFormat="1" applyFont="1" applyFill="1" applyBorder="1" applyAlignment="1" applyProtection="1">
      <alignment horizontal="center" vertical="center" wrapText="1"/>
    </xf>
    <xf numFmtId="0" fontId="5" fillId="0" borderId="71" xfId="2" applyFont="1" applyFill="1" applyBorder="1" applyAlignment="1" applyProtection="1">
      <alignment horizontal="center" vertical="center" wrapText="1"/>
    </xf>
    <xf numFmtId="164" fontId="5" fillId="0" borderId="74" xfId="3" applyNumberFormat="1" applyFont="1" applyBorder="1" applyAlignment="1" applyProtection="1">
      <alignment horizontal="center" vertical="center"/>
    </xf>
    <xf numFmtId="0" fontId="1" fillId="0" borderId="0" xfId="1" applyFont="1" applyFill="1" applyProtection="1"/>
    <xf numFmtId="0" fontId="20" fillId="0" borderId="0" xfId="1" applyFont="1" applyAlignment="1" applyProtection="1">
      <alignment vertical="center" wrapText="1"/>
    </xf>
    <xf numFmtId="4" fontId="8" fillId="0" borderId="0" xfId="1" applyNumberFormat="1" applyFont="1" applyAlignment="1" applyProtection="1">
      <alignment vertical="center"/>
    </xf>
    <xf numFmtId="0" fontId="8" fillId="0" borderId="0" xfId="1" applyFont="1" applyAlignment="1" applyProtection="1">
      <alignment horizontal="left" vertical="center" indent="1"/>
    </xf>
    <xf numFmtId="0" fontId="8" fillId="0" borderId="0" xfId="1" applyFont="1" applyProtection="1"/>
    <xf numFmtId="0" fontId="29" fillId="0" borderId="0" xfId="0" applyFont="1" applyAlignment="1" applyProtection="1">
      <alignment vertical="center"/>
    </xf>
    <xf numFmtId="49" fontId="5" fillId="0" borderId="0" xfId="4" applyNumberFormat="1" applyFont="1" applyFill="1" applyBorder="1" applyAlignment="1" applyProtection="1">
      <alignment vertical="center" wrapText="1"/>
    </xf>
    <xf numFmtId="165" fontId="4" fillId="0" borderId="0" xfId="3" applyNumberFormat="1" applyFont="1" applyFill="1" applyAlignment="1" applyProtection="1">
      <alignment horizontal="right" vertical="center"/>
    </xf>
    <xf numFmtId="49" fontId="4" fillId="0" borderId="0" xfId="4" applyNumberFormat="1" applyFont="1" applyFill="1" applyBorder="1" applyAlignment="1" applyProtection="1">
      <alignment horizontal="left" vertical="center"/>
    </xf>
    <xf numFmtId="49" fontId="4" fillId="0" borderId="0" xfId="4" applyNumberFormat="1" applyFont="1" applyFill="1" applyBorder="1" applyAlignment="1" applyProtection="1">
      <alignment horizontal="right" vertical="center"/>
    </xf>
    <xf numFmtId="166" fontId="5" fillId="0" borderId="0" xfId="3" applyNumberFormat="1" applyFont="1" applyFill="1" applyAlignment="1" applyProtection="1">
      <alignment horizontal="center" vertical="center"/>
    </xf>
    <xf numFmtId="2" fontId="72" fillId="9" borderId="19" xfId="0" applyNumberFormat="1" applyFont="1" applyFill="1" applyBorder="1" applyAlignment="1" applyProtection="1">
      <alignment horizontal="right" vertical="center"/>
      <protection locked="0"/>
    </xf>
    <xf numFmtId="2" fontId="72" fillId="9" borderId="20" xfId="0" applyNumberFormat="1" applyFont="1" applyFill="1" applyBorder="1" applyAlignment="1" applyProtection="1">
      <alignment horizontal="right" vertical="center"/>
      <protection locked="0"/>
    </xf>
    <xf numFmtId="2" fontId="30" fillId="9" borderId="20" xfId="0" applyNumberFormat="1" applyFont="1" applyFill="1" applyBorder="1" applyAlignment="1" applyProtection="1">
      <alignment horizontal="right" vertical="center"/>
      <protection locked="0"/>
    </xf>
    <xf numFmtId="2" fontId="30" fillId="9" borderId="21" xfId="0" applyNumberFormat="1" applyFont="1" applyFill="1" applyBorder="1" applyAlignment="1" applyProtection="1">
      <alignment horizontal="right" vertical="center"/>
      <protection locked="0"/>
    </xf>
    <xf numFmtId="4" fontId="1" fillId="11" borderId="0" xfId="1" applyNumberFormat="1" applyFill="1" applyProtection="1"/>
    <xf numFmtId="0" fontId="0" fillId="0" borderId="0" xfId="0" applyAlignment="1" applyProtection="1">
      <alignment horizontal="center"/>
    </xf>
    <xf numFmtId="0" fontId="0" fillId="0" borderId="0" xfId="0" applyProtection="1"/>
    <xf numFmtId="2" fontId="0" fillId="0" borderId="0" xfId="0" applyNumberFormat="1" applyProtection="1"/>
    <xf numFmtId="4" fontId="0" fillId="0" borderId="0" xfId="0" applyNumberFormat="1" applyProtection="1"/>
    <xf numFmtId="4" fontId="29" fillId="0" borderId="0" xfId="0" applyNumberFormat="1" applyFont="1" applyAlignment="1" applyProtection="1">
      <alignment vertical="center"/>
    </xf>
    <xf numFmtId="4" fontId="8" fillId="0" borderId="0" xfId="1" applyNumberFormat="1" applyFont="1" applyAlignment="1" applyProtection="1">
      <alignment horizontal="right" vertical="center"/>
    </xf>
    <xf numFmtId="0" fontId="17" fillId="0" borderId="9" xfId="0" applyFont="1" applyBorder="1" applyAlignment="1" applyProtection="1">
      <alignment horizontal="center"/>
    </xf>
    <xf numFmtId="0" fontId="17" fillId="0" borderId="14" xfId="0" applyFont="1" applyBorder="1" applyAlignment="1" applyProtection="1">
      <alignment horizontal="center"/>
    </xf>
    <xf numFmtId="0" fontId="17" fillId="0" borderId="80" xfId="0" applyFont="1" applyBorder="1" applyAlignment="1" applyProtection="1">
      <alignment horizontal="center" vertical="center"/>
    </xf>
    <xf numFmtId="0" fontId="17" fillId="0" borderId="83" xfId="0" applyFont="1" applyBorder="1" applyAlignment="1" applyProtection="1">
      <alignment horizontal="center" vertical="center"/>
    </xf>
    <xf numFmtId="0" fontId="0" fillId="0" borderId="39" xfId="0" applyBorder="1" applyAlignment="1" applyProtection="1">
      <alignment horizontal="center" vertical="center" wrapText="1"/>
    </xf>
    <xf numFmtId="0" fontId="0" fillId="0" borderId="45" xfId="0" applyBorder="1" applyAlignment="1" applyProtection="1">
      <alignment horizontal="center" vertical="center" wrapText="1"/>
    </xf>
    <xf numFmtId="0" fontId="0" fillId="0" borderId="43" xfId="0" applyBorder="1" applyAlignment="1" applyProtection="1">
      <alignment horizontal="center" vertical="center" wrapText="1"/>
    </xf>
    <xf numFmtId="0" fontId="0" fillId="0" borderId="78" xfId="0" applyBorder="1" applyAlignment="1" applyProtection="1">
      <alignment horizontal="center" vertical="center" wrapText="1"/>
    </xf>
    <xf numFmtId="0" fontId="17" fillId="0" borderId="80" xfId="0" applyFont="1" applyBorder="1" applyAlignment="1" applyProtection="1">
      <alignment horizontal="center" vertical="center" wrapText="1"/>
    </xf>
    <xf numFmtId="0" fontId="17" fillId="0" borderId="83" xfId="0" applyFont="1" applyBorder="1" applyAlignment="1" applyProtection="1">
      <alignment horizontal="center" vertical="center" wrapText="1"/>
    </xf>
    <xf numFmtId="0" fontId="5" fillId="0" borderId="10" xfId="2" applyFont="1" applyBorder="1" applyAlignment="1" applyProtection="1">
      <alignment horizontal="left" vertical="center" wrapText="1" indent="1"/>
    </xf>
    <xf numFmtId="0" fontId="5" fillId="0" borderId="3" xfId="2" applyFont="1" applyBorder="1" applyAlignment="1" applyProtection="1">
      <alignment horizontal="left" vertical="center" wrapText="1" indent="1"/>
    </xf>
    <xf numFmtId="0" fontId="26" fillId="0" borderId="0" xfId="1" applyFont="1" applyAlignment="1" applyProtection="1">
      <alignment horizontal="left" vertical="center" wrapText="1"/>
    </xf>
    <xf numFmtId="0" fontId="8" fillId="6" borderId="8" xfId="1" applyFont="1" applyFill="1" applyBorder="1" applyAlignment="1" applyProtection="1">
      <alignment horizontal="center" vertical="center"/>
    </xf>
    <xf numFmtId="0" fontId="8" fillId="6" borderId="42" xfId="1" applyFont="1" applyFill="1" applyBorder="1" applyAlignment="1" applyProtection="1">
      <alignment horizontal="center" vertical="center"/>
    </xf>
    <xf numFmtId="0" fontId="8" fillId="6" borderId="22" xfId="1" applyFont="1" applyFill="1" applyBorder="1" applyAlignment="1" applyProtection="1">
      <alignment horizontal="center" vertical="center"/>
    </xf>
    <xf numFmtId="0" fontId="8" fillId="6" borderId="11" xfId="1" applyFont="1" applyFill="1" applyBorder="1" applyAlignment="1" applyProtection="1">
      <alignment horizontal="center" vertical="center"/>
    </xf>
    <xf numFmtId="0" fontId="8" fillId="6" borderId="12" xfId="1" applyFont="1" applyFill="1" applyBorder="1" applyAlignment="1" applyProtection="1">
      <alignment horizontal="center" vertical="center"/>
    </xf>
    <xf numFmtId="0" fontId="8" fillId="6" borderId="41" xfId="1" applyFont="1" applyFill="1" applyBorder="1" applyAlignment="1" applyProtection="1">
      <alignment horizontal="center" vertical="center"/>
    </xf>
    <xf numFmtId="0" fontId="5" fillId="0" borderId="11" xfId="2" applyFont="1" applyBorder="1" applyAlignment="1" applyProtection="1">
      <alignment horizontal="left" vertical="center" wrapText="1" indent="1"/>
    </xf>
    <xf numFmtId="0" fontId="5" fillId="0" borderId="5" xfId="2" applyFont="1" applyBorder="1" applyAlignment="1" applyProtection="1">
      <alignment horizontal="left" vertical="center" wrapText="1" indent="1"/>
    </xf>
    <xf numFmtId="0" fontId="4" fillId="6" borderId="39" xfId="2" applyFont="1" applyFill="1" applyBorder="1" applyAlignment="1" applyProtection="1">
      <alignment horizontal="center" vertical="center"/>
    </xf>
    <xf numFmtId="0" fontId="4" fillId="6" borderId="40" xfId="2" applyFont="1" applyFill="1" applyBorder="1" applyAlignment="1" applyProtection="1">
      <alignment horizontal="center" vertical="center"/>
    </xf>
    <xf numFmtId="0" fontId="4" fillId="6" borderId="43" xfId="2" applyFont="1" applyFill="1" applyBorder="1" applyAlignment="1" applyProtection="1">
      <alignment horizontal="center" vertical="center"/>
    </xf>
    <xf numFmtId="0" fontId="4" fillId="6" borderId="34" xfId="2" applyFont="1" applyFill="1" applyBorder="1" applyAlignment="1" applyProtection="1">
      <alignment horizontal="center" vertical="center"/>
    </xf>
    <xf numFmtId="0" fontId="4" fillId="6" borderId="24" xfId="2" applyFont="1" applyFill="1" applyBorder="1" applyAlignment="1" applyProtection="1">
      <alignment horizontal="center" vertical="center"/>
    </xf>
    <xf numFmtId="0" fontId="4" fillId="6" borderId="37" xfId="2" applyFont="1" applyFill="1" applyBorder="1" applyAlignment="1" applyProtection="1">
      <alignment horizontal="center" vertical="center"/>
    </xf>
    <xf numFmtId="49" fontId="6" fillId="0" borderId="0" xfId="4" applyNumberFormat="1" applyFont="1" applyFill="1" applyAlignment="1" applyProtection="1">
      <alignment horizontal="left" vertical="center" wrapText="1"/>
    </xf>
    <xf numFmtId="0" fontId="5" fillId="0" borderId="10" xfId="2" applyFont="1" applyFill="1" applyBorder="1" applyAlignment="1" applyProtection="1">
      <alignment horizontal="left" vertical="center" wrapText="1" indent="1"/>
    </xf>
    <xf numFmtId="0" fontId="5" fillId="0" borderId="3" xfId="2" applyFont="1" applyFill="1" applyBorder="1" applyAlignment="1" applyProtection="1">
      <alignment horizontal="left" vertical="center" wrapText="1" indent="1"/>
    </xf>
    <xf numFmtId="0" fontId="27" fillId="0" borderId="0" xfId="1" applyFont="1" applyAlignment="1" applyProtection="1">
      <alignment horizontal="left" vertical="center" wrapText="1"/>
    </xf>
    <xf numFmtId="0" fontId="5" fillId="0" borderId="13" xfId="2" applyFont="1" applyFill="1" applyBorder="1" applyAlignment="1" applyProtection="1">
      <alignment horizontal="left" vertical="center" wrapText="1" indent="1"/>
    </xf>
    <xf numFmtId="0" fontId="5" fillId="0" borderId="33" xfId="2" applyFont="1" applyFill="1" applyBorder="1" applyAlignment="1" applyProtection="1">
      <alignment horizontal="left" vertical="center" wrapText="1" indent="1"/>
    </xf>
    <xf numFmtId="0" fontId="26" fillId="0" borderId="0" xfId="1" applyFont="1" applyAlignment="1" applyProtection="1">
      <alignment horizontal="left" vertical="top" wrapText="1"/>
    </xf>
    <xf numFmtId="0" fontId="26" fillId="4" borderId="0" xfId="1" applyFont="1" applyFill="1" applyAlignment="1" applyProtection="1">
      <alignment horizontal="left" vertical="top" wrapText="1"/>
    </xf>
    <xf numFmtId="0" fontId="2" fillId="8" borderId="0" xfId="1" applyFont="1" applyFill="1" applyAlignment="1" applyProtection="1">
      <alignment horizontal="left" vertical="center" wrapText="1"/>
    </xf>
    <xf numFmtId="0" fontId="75" fillId="0" borderId="0" xfId="1" applyFont="1" applyAlignment="1" applyProtection="1">
      <alignment horizontal="left" vertical="center" wrapText="1"/>
    </xf>
    <xf numFmtId="0" fontId="20" fillId="0" borderId="0" xfId="1" applyFont="1" applyAlignment="1" applyProtection="1">
      <alignment horizontal="left" vertical="center" wrapText="1"/>
    </xf>
    <xf numFmtId="0" fontId="1" fillId="0" borderId="19" xfId="1" applyBorder="1" applyAlignment="1" applyProtection="1">
      <alignment horizontal="left" vertical="center" wrapText="1" indent="1"/>
    </xf>
    <xf numFmtId="0" fontId="1" fillId="0" borderId="14" xfId="1" applyBorder="1" applyAlignment="1" applyProtection="1">
      <alignment horizontal="left" vertical="center" wrapText="1" indent="1"/>
    </xf>
    <xf numFmtId="0" fontId="4" fillId="7" borderId="23" xfId="2" applyFont="1" applyFill="1" applyBorder="1" applyAlignment="1" applyProtection="1">
      <alignment horizontal="center" vertical="center"/>
    </xf>
    <xf numFmtId="0" fontId="4" fillId="7" borderId="44" xfId="2" applyFont="1" applyFill="1" applyBorder="1" applyAlignment="1" applyProtection="1">
      <alignment horizontal="center" vertical="center"/>
    </xf>
    <xf numFmtId="0" fontId="4" fillId="7" borderId="25" xfId="2" applyFont="1" applyFill="1" applyBorder="1" applyAlignment="1" applyProtection="1">
      <alignment horizontal="center" vertical="center"/>
    </xf>
    <xf numFmtId="0" fontId="4" fillId="7" borderId="26" xfId="2" applyFont="1" applyFill="1" applyBorder="1" applyAlignment="1" applyProtection="1">
      <alignment horizontal="center" vertical="center"/>
    </xf>
    <xf numFmtId="0" fontId="4" fillId="7" borderId="45" xfId="2" applyFont="1" applyFill="1" applyBorder="1" applyAlignment="1" applyProtection="1">
      <alignment horizontal="center" vertical="center"/>
    </xf>
    <xf numFmtId="0" fontId="4" fillId="7" borderId="28" xfId="2" applyFont="1" applyFill="1" applyBorder="1" applyAlignment="1" applyProtection="1">
      <alignment horizontal="center" vertical="center"/>
    </xf>
    <xf numFmtId="0" fontId="4" fillId="7" borderId="0" xfId="2" applyFont="1" applyFill="1" applyBorder="1" applyAlignment="1" applyProtection="1">
      <alignment horizontal="center" vertical="center"/>
    </xf>
    <xf numFmtId="0" fontId="4" fillId="7" borderId="77" xfId="2" applyFont="1" applyFill="1" applyBorder="1" applyAlignment="1" applyProtection="1">
      <alignment horizontal="center" vertical="center"/>
    </xf>
    <xf numFmtId="0" fontId="1" fillId="7" borderId="42" xfId="1" applyFill="1" applyBorder="1" applyAlignment="1" applyProtection="1">
      <alignment horizontal="center" vertical="center" wrapText="1"/>
    </xf>
    <xf numFmtId="0" fontId="1" fillId="7" borderId="22" xfId="1" applyFill="1" applyBorder="1" applyAlignment="1" applyProtection="1">
      <alignment horizontal="center" vertical="center" wrapText="1"/>
    </xf>
    <xf numFmtId="0" fontId="1" fillId="0" borderId="20" xfId="1" applyBorder="1" applyAlignment="1" applyProtection="1">
      <alignment horizontal="left" vertical="center" wrapText="1" indent="1"/>
    </xf>
    <xf numFmtId="0" fontId="1" fillId="0" borderId="4" xfId="1" applyBorder="1" applyAlignment="1" applyProtection="1">
      <alignment horizontal="left" vertical="center" wrapText="1" indent="1"/>
    </xf>
    <xf numFmtId="0" fontId="1" fillId="0" borderId="21" xfId="1" applyBorder="1" applyAlignment="1" applyProtection="1">
      <alignment horizontal="left" vertical="center" wrapText="1" indent="1"/>
    </xf>
    <xf numFmtId="0" fontId="1" fillId="0" borderId="7" xfId="1" applyBorder="1" applyAlignment="1" applyProtection="1">
      <alignment horizontal="left" vertical="center" wrapText="1" indent="1"/>
    </xf>
    <xf numFmtId="4" fontId="12" fillId="2" borderId="14" xfId="3" applyNumberFormat="1" applyFont="1" applyFill="1" applyBorder="1" applyAlignment="1" applyProtection="1">
      <alignment horizontal="center" vertical="center" wrapText="1"/>
    </xf>
    <xf numFmtId="4" fontId="12" fillId="2" borderId="7" xfId="3" applyNumberFormat="1" applyFont="1" applyFill="1" applyBorder="1" applyAlignment="1" applyProtection="1">
      <alignment horizontal="center" vertical="center" wrapText="1"/>
    </xf>
    <xf numFmtId="4" fontId="12" fillId="2" borderId="19" xfId="3" applyNumberFormat="1" applyFont="1" applyFill="1" applyBorder="1" applyAlignment="1" applyProtection="1">
      <alignment horizontal="center" vertical="center" wrapText="1"/>
    </xf>
    <xf numFmtId="4" fontId="12" fillId="2" borderId="21" xfId="3" applyNumberFormat="1" applyFont="1" applyFill="1" applyBorder="1" applyAlignment="1" applyProtection="1">
      <alignment horizontal="center" vertical="center" wrapText="1"/>
    </xf>
    <xf numFmtId="166" fontId="12" fillId="2" borderId="19" xfId="3" applyNumberFormat="1" applyFont="1" applyFill="1" applyBorder="1" applyAlignment="1" applyProtection="1">
      <alignment horizontal="center" vertical="center" wrapText="1"/>
    </xf>
    <xf numFmtId="4" fontId="12" fillId="2" borderId="18" xfId="3" applyNumberFormat="1" applyFont="1" applyFill="1" applyBorder="1" applyAlignment="1" applyProtection="1">
      <alignment horizontal="center" vertical="center" wrapText="1"/>
    </xf>
    <xf numFmtId="4" fontId="12" fillId="2" borderId="6" xfId="3" applyNumberFormat="1" applyFont="1" applyFill="1" applyBorder="1" applyAlignment="1" applyProtection="1">
      <alignment horizontal="center" vertical="center" wrapText="1"/>
    </xf>
    <xf numFmtId="4" fontId="12" fillId="2" borderId="34" xfId="3" applyNumberFormat="1" applyFont="1" applyFill="1" applyBorder="1" applyAlignment="1" applyProtection="1">
      <alignment horizontal="center" vertical="center" wrapText="1"/>
    </xf>
    <xf numFmtId="4" fontId="12" fillId="2" borderId="37" xfId="3" applyNumberFormat="1" applyFont="1" applyFill="1" applyBorder="1" applyAlignment="1" applyProtection="1">
      <alignment horizontal="center" vertical="center" wrapText="1"/>
    </xf>
    <xf numFmtId="4" fontId="70" fillId="2" borderId="19" xfId="3" applyNumberFormat="1" applyFont="1" applyFill="1" applyBorder="1" applyAlignment="1" applyProtection="1">
      <alignment horizontal="center" vertical="center" wrapText="1"/>
    </xf>
    <xf numFmtId="4" fontId="70" fillId="2" borderId="21" xfId="3" applyNumberFormat="1" applyFont="1" applyFill="1" applyBorder="1" applyAlignment="1" applyProtection="1">
      <alignment horizontal="center" vertical="center" wrapText="1"/>
    </xf>
    <xf numFmtId="4" fontId="70" fillId="9" borderId="19" xfId="3" applyNumberFormat="1" applyFont="1" applyFill="1" applyBorder="1" applyAlignment="1" applyProtection="1">
      <alignment horizontal="center" vertical="center" wrapText="1"/>
    </xf>
    <xf numFmtId="4" fontId="70" fillId="9" borderId="21" xfId="3" applyNumberFormat="1" applyFont="1" applyFill="1" applyBorder="1" applyAlignment="1" applyProtection="1">
      <alignment horizontal="center" vertical="center" wrapText="1"/>
    </xf>
    <xf numFmtId="4" fontId="58" fillId="2" borderId="19" xfId="3" applyNumberFormat="1" applyFont="1" applyFill="1" applyBorder="1" applyAlignment="1" applyProtection="1">
      <alignment horizontal="center" vertical="center" wrapText="1"/>
    </xf>
    <xf numFmtId="4" fontId="58" fillId="2" borderId="21" xfId="3" applyNumberFormat="1" applyFont="1" applyFill="1" applyBorder="1" applyAlignment="1" applyProtection="1">
      <alignment horizontal="center" vertical="center" wrapText="1"/>
    </xf>
    <xf numFmtId="4" fontId="68" fillId="0" borderId="30" xfId="3" applyNumberFormat="1" applyFont="1" applyFill="1" applyBorder="1" applyAlignment="1" applyProtection="1">
      <alignment horizontal="left" vertical="center"/>
    </xf>
    <xf numFmtId="4" fontId="5" fillId="0" borderId="31" xfId="3" applyNumberFormat="1" applyFont="1" applyFill="1" applyBorder="1" applyAlignment="1" applyProtection="1">
      <alignment horizontal="center" vertical="center" textRotation="90" wrapText="1" shrinkToFit="1"/>
    </xf>
    <xf numFmtId="4" fontId="5" fillId="0" borderId="30" xfId="3" applyNumberFormat="1" applyFont="1" applyFill="1" applyBorder="1" applyAlignment="1" applyProtection="1">
      <alignment horizontal="center" vertical="center" textRotation="90" wrapText="1" shrinkToFit="1"/>
    </xf>
    <xf numFmtId="4" fontId="5" fillId="0" borderId="50" xfId="3" applyNumberFormat="1" applyFont="1" applyFill="1" applyBorder="1" applyAlignment="1" applyProtection="1">
      <alignment horizontal="center" vertical="center" textRotation="90" wrapText="1" shrinkToFit="1"/>
    </xf>
  </cellXfs>
  <cellStyles count="9">
    <cellStyle name="Excel Built-in Normal" xfId="8"/>
    <cellStyle name="Měna" xfId="6" builtinId="4"/>
    <cellStyle name="Měna 2" xfId="7"/>
    <cellStyle name="Normální" xfId="0" builtinId="0"/>
    <cellStyle name="Normální 2" xfId="3"/>
    <cellStyle name="normální_Cleaning Program výpočet" xfId="2"/>
    <cellStyle name="normální_List1" xfId="5"/>
    <cellStyle name="normální_zadání_NA" xfId="1"/>
    <cellStyle name="normální_ZADÁVACÍ_DOKUMENTACE_příloha_1" xfId="4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avel\MULTI%20TOP\Obchod\Kalkulace\KHK\OVS\7B_NEM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enda\D\Dokumenty\Dokumenty%20Nemocnice%20Litomy&#353;l\Investice\V%20&#221;%20B%20&#282;%20R%20O%20V%20&#193;%20%20%20%20&#344;%20&#205;%20Z%20E%20N%20&#205;\&#218;KLIDOV&#193;%20FIRMA%202016\SMLOUVA\LIN_P&#345;&#237;loha%20&#269;.%2007,08,09,15%20-%20Kalkulace%20nab&#237;dkov&#253;ch%20cen_OK_final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NL%20-%2050\Jihlava\KHS%20Jihlava-rozd&#283;len&#237;%20ploc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kumenty\Nemocnice_Matice.vzorr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TOMAS~1.TRN\LOCALS~1\Temp\Rar$DI00.068\Dokumenty\Kalk%20Central%20Europe-vzorDO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ss\2006\&#268;&#225;pov&#225;%20Lenka\ON%20Ji&#269;&#237;n\IIIQ_06\Dokumenty\Kalk%20Central%20Europe-vzorDOC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NL%20-%2050\Jihlava\Nemocnice%20Prost&#283;jov-star&#225;\Kalk%20Central%20Europe-vzorDO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rma"/>
      <sheetName val="Čas"/>
      <sheetName val="Prozák"/>
      <sheetName val="PRG"/>
      <sheetName val="Cena"/>
      <sheetName val="Reál"/>
      <sheetName val="sumář"/>
      <sheetName val="Datenbasis FE"/>
      <sheetName val="Nákl.stř."/>
      <sheetName val="Prozák stř."/>
      <sheetName val="Databáze"/>
      <sheetName val="Životnosti"/>
      <sheetName val="Kódování"/>
      <sheetName val="FurnitureList"/>
      <sheetName val="Makro1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>
        <row r="4">
          <cell r="A4" t="str">
            <v>a1</v>
          </cell>
          <cell r="B4">
            <v>2</v>
          </cell>
          <cell r="C4">
            <v>1.67</v>
          </cell>
          <cell r="D4">
            <v>50</v>
          </cell>
          <cell r="F4" t="str">
            <v>Einfachfe. ohne OL</v>
          </cell>
        </row>
        <row r="5">
          <cell r="A5" t="str">
            <v>a10</v>
          </cell>
          <cell r="B5">
            <v>2</v>
          </cell>
          <cell r="C5">
            <v>1.3</v>
          </cell>
          <cell r="D5">
            <v>50</v>
          </cell>
          <cell r="E5">
            <v>0</v>
          </cell>
          <cell r="F5" t="str">
            <v>Einfachfe. ohne OL</v>
          </cell>
        </row>
        <row r="6">
          <cell r="A6" t="str">
            <v>a11</v>
          </cell>
          <cell r="B6">
            <v>2</v>
          </cell>
          <cell r="C6">
            <v>1.23</v>
          </cell>
          <cell r="D6">
            <v>50</v>
          </cell>
          <cell r="E6">
            <v>0</v>
          </cell>
          <cell r="F6" t="str">
            <v>Einfachfe. ohne OL</v>
          </cell>
        </row>
        <row r="7">
          <cell r="A7" t="str">
            <v>a12</v>
          </cell>
          <cell r="B7">
            <v>2</v>
          </cell>
          <cell r="C7">
            <v>1.2</v>
          </cell>
          <cell r="D7">
            <v>50</v>
          </cell>
          <cell r="E7">
            <v>0</v>
          </cell>
          <cell r="F7" t="str">
            <v>Einfachfe. ohne OL</v>
          </cell>
        </row>
        <row r="8">
          <cell r="A8" t="str">
            <v>a13</v>
          </cell>
          <cell r="B8">
            <v>4</v>
          </cell>
          <cell r="C8">
            <v>1.85</v>
          </cell>
          <cell r="D8">
            <v>50</v>
          </cell>
          <cell r="E8">
            <v>0</v>
          </cell>
          <cell r="F8" t="str">
            <v>Doppelfe. ohne OL</v>
          </cell>
        </row>
        <row r="9">
          <cell r="A9" t="str">
            <v>a14</v>
          </cell>
          <cell r="B9">
            <v>4</v>
          </cell>
          <cell r="C9">
            <v>1.3</v>
          </cell>
          <cell r="D9">
            <v>50</v>
          </cell>
          <cell r="E9">
            <v>0</v>
          </cell>
          <cell r="F9" t="str">
            <v>Doppelfe. ohne OL</v>
          </cell>
        </row>
        <row r="10">
          <cell r="A10" t="str">
            <v>a15</v>
          </cell>
          <cell r="B10">
            <v>4</v>
          </cell>
          <cell r="C10">
            <v>1.3</v>
          </cell>
          <cell r="D10">
            <v>50</v>
          </cell>
          <cell r="E10">
            <v>0</v>
          </cell>
          <cell r="F10" t="str">
            <v>Doppelfe. ohne OL</v>
          </cell>
        </row>
        <row r="11">
          <cell r="A11" t="str">
            <v>a16</v>
          </cell>
          <cell r="B11">
            <v>4</v>
          </cell>
          <cell r="C11">
            <v>1.2</v>
          </cell>
          <cell r="D11">
            <v>50</v>
          </cell>
          <cell r="E11">
            <v>0</v>
          </cell>
          <cell r="F11" t="str">
            <v>Doppelfe. ohne OL</v>
          </cell>
        </row>
        <row r="12">
          <cell r="A12" t="str">
            <v>a17</v>
          </cell>
          <cell r="B12">
            <v>2</v>
          </cell>
          <cell r="C12">
            <v>1.88</v>
          </cell>
          <cell r="D12">
            <v>50</v>
          </cell>
          <cell r="E12">
            <v>0</v>
          </cell>
          <cell r="F12" t="str">
            <v>Einfachfe. mit OL</v>
          </cell>
        </row>
        <row r="13">
          <cell r="A13" t="str">
            <v>a18</v>
          </cell>
          <cell r="B13">
            <v>2</v>
          </cell>
          <cell r="C13">
            <v>1.5</v>
          </cell>
          <cell r="D13">
            <v>50</v>
          </cell>
          <cell r="F13" t="str">
            <v>Einfachfe. mit OL</v>
          </cell>
        </row>
        <row r="14">
          <cell r="A14" t="str">
            <v>a19</v>
          </cell>
          <cell r="B14">
            <v>2</v>
          </cell>
          <cell r="C14">
            <v>1.5</v>
          </cell>
          <cell r="D14">
            <v>50</v>
          </cell>
          <cell r="F14" t="str">
            <v>Einfachfe. mit OL</v>
          </cell>
        </row>
        <row r="15">
          <cell r="A15" t="str">
            <v>a2</v>
          </cell>
          <cell r="B15">
            <v>2</v>
          </cell>
          <cell r="C15">
            <v>1.25</v>
          </cell>
          <cell r="D15">
            <v>50</v>
          </cell>
          <cell r="F15" t="str">
            <v>Einfachfe. mit OL</v>
          </cell>
        </row>
        <row r="16">
          <cell r="A16" t="str">
            <v>a20</v>
          </cell>
          <cell r="B16">
            <v>4</v>
          </cell>
          <cell r="C16">
            <v>1.5</v>
          </cell>
          <cell r="D16">
            <v>50</v>
          </cell>
          <cell r="F16" t="str">
            <v>Doppelfe. mit OL</v>
          </cell>
        </row>
        <row r="17">
          <cell r="A17" t="str">
            <v>a3</v>
          </cell>
          <cell r="B17">
            <v>4</v>
          </cell>
          <cell r="C17">
            <v>1.1100000000000001</v>
          </cell>
          <cell r="D17">
            <v>50</v>
          </cell>
          <cell r="F17" t="str">
            <v>Doppelfe. mit OL</v>
          </cell>
        </row>
        <row r="18">
          <cell r="A18" t="str">
            <v>a4</v>
          </cell>
          <cell r="B18">
            <v>4</v>
          </cell>
          <cell r="C18">
            <v>1.1100000000000001</v>
          </cell>
          <cell r="D18">
            <v>50</v>
          </cell>
          <cell r="F18" t="str">
            <v>Doppelfe. mit OL</v>
          </cell>
        </row>
        <row r="19">
          <cell r="A19" t="str">
            <v>a5</v>
          </cell>
          <cell r="B19">
            <v>4</v>
          </cell>
          <cell r="C19">
            <v>1.67</v>
          </cell>
          <cell r="D19">
            <v>50</v>
          </cell>
          <cell r="F19" t="str">
            <v>Doppelfe. mit OL</v>
          </cell>
        </row>
        <row r="20">
          <cell r="A20" t="str">
            <v>a6</v>
          </cell>
          <cell r="B20">
            <v>4</v>
          </cell>
          <cell r="C20">
            <v>1.25</v>
          </cell>
          <cell r="D20">
            <v>50</v>
          </cell>
          <cell r="E20">
            <v>0</v>
          </cell>
          <cell r="F20" t="str">
            <v>hohe Doppelfe. mit OL</v>
          </cell>
        </row>
        <row r="21">
          <cell r="A21" t="str">
            <v>a7</v>
          </cell>
          <cell r="B21">
            <v>4</v>
          </cell>
          <cell r="C21">
            <v>1.1100000000000001</v>
          </cell>
          <cell r="D21">
            <v>50</v>
          </cell>
          <cell r="E21">
            <v>0</v>
          </cell>
          <cell r="F21" t="str">
            <v>hohe Doppelfe. mit OL</v>
          </cell>
        </row>
        <row r="22">
          <cell r="A22" t="str">
            <v>a8</v>
          </cell>
          <cell r="B22">
            <v>4</v>
          </cell>
          <cell r="C22">
            <v>1.1100000000000001</v>
          </cell>
          <cell r="D22">
            <v>50</v>
          </cell>
          <cell r="E22">
            <v>0</v>
          </cell>
          <cell r="F22" t="str">
            <v>hohe Doppelfe. mit OL</v>
          </cell>
        </row>
        <row r="23">
          <cell r="A23" t="str">
            <v>a9</v>
          </cell>
          <cell r="B23">
            <v>4</v>
          </cell>
          <cell r="C23">
            <v>1.85</v>
          </cell>
          <cell r="D23">
            <v>50</v>
          </cell>
          <cell r="E23">
            <v>0</v>
          </cell>
          <cell r="F23" t="str">
            <v>hohe Doppelfe. mit OL</v>
          </cell>
        </row>
        <row r="24">
          <cell r="A24" t="str">
            <v>b1</v>
          </cell>
          <cell r="B24">
            <v>2</v>
          </cell>
          <cell r="C24">
            <v>1.25</v>
          </cell>
          <cell r="D24">
            <v>50</v>
          </cell>
          <cell r="F24" t="str">
            <v>Thermofe.</v>
          </cell>
        </row>
        <row r="25">
          <cell r="A25" t="str">
            <v>b10</v>
          </cell>
          <cell r="B25">
            <v>2</v>
          </cell>
          <cell r="C25">
            <v>2.95</v>
          </cell>
          <cell r="D25">
            <v>50</v>
          </cell>
          <cell r="E25">
            <v>0</v>
          </cell>
          <cell r="F25" t="str">
            <v>Schubthermofenster</v>
          </cell>
        </row>
        <row r="26">
          <cell r="A26" t="str">
            <v>b11</v>
          </cell>
          <cell r="B26">
            <v>4</v>
          </cell>
          <cell r="C26">
            <v>4.0999999999999996</v>
          </cell>
          <cell r="D26">
            <v>50</v>
          </cell>
          <cell r="F26" t="str">
            <v>Schubverbundfenster</v>
          </cell>
        </row>
        <row r="27">
          <cell r="A27" t="str">
            <v>b2</v>
          </cell>
          <cell r="B27">
            <v>2</v>
          </cell>
          <cell r="C27">
            <v>1.5</v>
          </cell>
          <cell r="D27">
            <v>50</v>
          </cell>
          <cell r="F27" t="str">
            <v>Thermofe. geteilt</v>
          </cell>
        </row>
        <row r="28">
          <cell r="A28" t="str">
            <v>b3</v>
          </cell>
          <cell r="B28">
            <v>2</v>
          </cell>
          <cell r="C28">
            <v>1.7</v>
          </cell>
          <cell r="D28">
            <v>50</v>
          </cell>
          <cell r="F28" t="str">
            <v>Thermofe. geteilt mit OL</v>
          </cell>
        </row>
        <row r="29">
          <cell r="A29" t="str">
            <v>b4</v>
          </cell>
          <cell r="B29">
            <v>2</v>
          </cell>
          <cell r="C29">
            <v>1.5</v>
          </cell>
          <cell r="D29">
            <v>50</v>
          </cell>
          <cell r="F29" t="str">
            <v>Thermofe. mit OL</v>
          </cell>
        </row>
        <row r="30">
          <cell r="A30" t="str">
            <v>b5</v>
          </cell>
          <cell r="B30">
            <v>4</v>
          </cell>
          <cell r="C30">
            <v>1.62</v>
          </cell>
          <cell r="D30">
            <v>50</v>
          </cell>
          <cell r="F30" t="str">
            <v>Verbundfe.</v>
          </cell>
        </row>
        <row r="31">
          <cell r="A31" t="str">
            <v>b6</v>
          </cell>
          <cell r="B31">
            <v>4</v>
          </cell>
          <cell r="C31">
            <v>1.67</v>
          </cell>
          <cell r="D31">
            <v>50</v>
          </cell>
          <cell r="F31" t="str">
            <v>Verbundfe. geteilt</v>
          </cell>
        </row>
        <row r="32">
          <cell r="A32" t="str">
            <v>b7</v>
          </cell>
          <cell r="B32">
            <v>4</v>
          </cell>
          <cell r="C32">
            <v>1.67</v>
          </cell>
          <cell r="D32">
            <v>50</v>
          </cell>
          <cell r="F32" t="str">
            <v>Verbundfe. geteilt mit OL</v>
          </cell>
        </row>
        <row r="33">
          <cell r="A33" t="str">
            <v>b8</v>
          </cell>
          <cell r="B33">
            <v>4</v>
          </cell>
          <cell r="C33">
            <v>1.64</v>
          </cell>
          <cell r="D33">
            <v>50</v>
          </cell>
          <cell r="E33">
            <v>0</v>
          </cell>
          <cell r="F33" t="str">
            <v>Verbundfe. mit OL</v>
          </cell>
        </row>
        <row r="34">
          <cell r="A34" t="str">
            <v>b9</v>
          </cell>
          <cell r="B34">
            <v>4</v>
          </cell>
          <cell r="C34">
            <v>1.62</v>
          </cell>
          <cell r="D34">
            <v>50</v>
          </cell>
          <cell r="E34">
            <v>50</v>
          </cell>
          <cell r="F34" t="str">
            <v>Drehverbundfe.</v>
          </cell>
        </row>
        <row r="35">
          <cell r="A35" t="str">
            <v>c1</v>
          </cell>
          <cell r="B35">
            <v>2</v>
          </cell>
          <cell r="C35">
            <v>1.5</v>
          </cell>
          <cell r="D35">
            <v>25</v>
          </cell>
          <cell r="F35" t="str">
            <v>Auslage, Eingangsvergl.</v>
          </cell>
        </row>
        <row r="36">
          <cell r="A36" t="str">
            <v>c2</v>
          </cell>
          <cell r="B36">
            <v>2</v>
          </cell>
          <cell r="C36">
            <v>3.1</v>
          </cell>
          <cell r="D36">
            <v>25</v>
          </cell>
          <cell r="E36">
            <v>100</v>
          </cell>
          <cell r="F36" t="str">
            <v>Auslage über 5m</v>
          </cell>
        </row>
        <row r="37">
          <cell r="A37" t="str">
            <v>c3</v>
          </cell>
          <cell r="B37">
            <v>1</v>
          </cell>
          <cell r="C37">
            <v>1</v>
          </cell>
          <cell r="D37">
            <v>25</v>
          </cell>
          <cell r="E37">
            <v>0</v>
          </cell>
          <cell r="F37" t="str">
            <v>Glasfassade mit Gondel</v>
          </cell>
        </row>
        <row r="38">
          <cell r="A38" t="str">
            <v>d1</v>
          </cell>
          <cell r="B38">
            <v>2</v>
          </cell>
          <cell r="C38">
            <v>2.7</v>
          </cell>
          <cell r="D38">
            <v>25</v>
          </cell>
          <cell r="E38">
            <v>0</v>
          </cell>
          <cell r="F38" t="str">
            <v>Fabriksfe. unterteilt</v>
          </cell>
        </row>
        <row r="39">
          <cell r="A39" t="str">
            <v>d2</v>
          </cell>
          <cell r="B39">
            <v>2</v>
          </cell>
          <cell r="C39">
            <v>1.25</v>
          </cell>
          <cell r="D39">
            <v>50</v>
          </cell>
          <cell r="E39">
            <v>0</v>
          </cell>
          <cell r="F39" t="str">
            <v>Glastüre</v>
          </cell>
        </row>
        <row r="40">
          <cell r="A40" t="str">
            <v>d3</v>
          </cell>
          <cell r="B40">
            <v>2</v>
          </cell>
          <cell r="C40">
            <v>1.9</v>
          </cell>
          <cell r="D40">
            <v>25</v>
          </cell>
          <cell r="E40">
            <v>0</v>
          </cell>
          <cell r="F40" t="str">
            <v>Glastrennwand (im Geb.)</v>
          </cell>
        </row>
        <row r="41">
          <cell r="A41" t="str">
            <v>d4</v>
          </cell>
          <cell r="B41">
            <v>2</v>
          </cell>
          <cell r="C41">
            <v>0.7</v>
          </cell>
          <cell r="D41">
            <v>25</v>
          </cell>
          <cell r="E41">
            <v>0</v>
          </cell>
          <cell r="F41" t="str">
            <v xml:space="preserve">Profil-, Milchglas </v>
          </cell>
        </row>
        <row r="42">
          <cell r="E42">
            <v>0</v>
          </cell>
        </row>
      </sheetData>
      <sheetData sheetId="8" refreshError="1"/>
      <sheetData sheetId="9" refreshError="1"/>
      <sheetData sheetId="10">
        <row r="6">
          <cell r="A6">
            <v>50</v>
          </cell>
          <cell r="B6" t="str">
            <v>10x (5xPo-Pá)</v>
          </cell>
          <cell r="C6">
            <v>217.39999999999998</v>
          </cell>
          <cell r="D6">
            <v>0</v>
          </cell>
        </row>
        <row r="7">
          <cell r="A7">
            <v>25</v>
          </cell>
          <cell r="B7" t="str">
            <v>5x (5xPo-Pá)</v>
          </cell>
          <cell r="C7">
            <v>108.69999999999999</v>
          </cell>
          <cell r="D7">
            <v>0</v>
          </cell>
        </row>
        <row r="8">
          <cell r="A8">
            <v>24</v>
          </cell>
          <cell r="B8" t="str">
            <v>4x(6xPo-So)</v>
          </cell>
          <cell r="C8">
            <v>86.96</v>
          </cell>
          <cell r="D8">
            <v>17.399999999999999</v>
          </cell>
        </row>
        <row r="9">
          <cell r="A9">
            <v>22</v>
          </cell>
          <cell r="B9" t="str">
            <v>4x(5xPo-Pá)+1xSo</v>
          </cell>
          <cell r="C9">
            <v>86.96</v>
          </cell>
          <cell r="D9">
            <v>4.3499999999999996</v>
          </cell>
        </row>
        <row r="10">
          <cell r="A10">
            <v>21</v>
          </cell>
          <cell r="B10" t="str">
            <v>3x (7xPo-Ne)</v>
          </cell>
          <cell r="C10">
            <v>65.22</v>
          </cell>
          <cell r="D10">
            <v>26.099999999999998</v>
          </cell>
        </row>
        <row r="11">
          <cell r="A11">
            <v>28</v>
          </cell>
          <cell r="B11" t="str">
            <v>4x (7xPo-Ne)</v>
          </cell>
          <cell r="C11">
            <v>86.96</v>
          </cell>
          <cell r="D11">
            <v>34.799999999999997</v>
          </cell>
        </row>
        <row r="12">
          <cell r="A12" t="str">
            <v>28a</v>
          </cell>
          <cell r="B12" t="str">
            <v>5x(Po-Pá)+2xSo+1xNe</v>
          </cell>
          <cell r="C12">
            <v>108.69999999999999</v>
          </cell>
          <cell r="D12">
            <v>13.049999999999999</v>
          </cell>
        </row>
        <row r="13">
          <cell r="A13">
            <v>70</v>
          </cell>
          <cell r="B13" t="str">
            <v>10x (7xPo-Ne)</v>
          </cell>
          <cell r="C13">
            <v>217.39999999999998</v>
          </cell>
          <cell r="D13">
            <v>87</v>
          </cell>
        </row>
        <row r="14">
          <cell r="A14">
            <v>20</v>
          </cell>
          <cell r="B14" t="str">
            <v>4x(5xPo-Pá)</v>
          </cell>
          <cell r="C14">
            <v>86.96</v>
          </cell>
          <cell r="D14">
            <v>0</v>
          </cell>
        </row>
        <row r="15">
          <cell r="A15">
            <v>19</v>
          </cell>
          <cell r="B15" t="str">
            <v>3x (Po-Pá)+2xSo,Ne</v>
          </cell>
          <cell r="C15">
            <v>65.22</v>
          </cell>
          <cell r="D15">
            <v>17.399999999999999</v>
          </cell>
        </row>
        <row r="16">
          <cell r="A16">
            <v>18</v>
          </cell>
          <cell r="B16" t="str">
            <v>3x(Po-So)</v>
          </cell>
          <cell r="C16">
            <v>65.22</v>
          </cell>
          <cell r="D16">
            <v>13.05</v>
          </cell>
        </row>
        <row r="17">
          <cell r="A17">
            <v>15</v>
          </cell>
          <cell r="B17" t="str">
            <v>3x (5xPo-Pá)</v>
          </cell>
          <cell r="C17">
            <v>65.22</v>
          </cell>
          <cell r="D17">
            <v>0</v>
          </cell>
        </row>
        <row r="18">
          <cell r="A18">
            <v>14</v>
          </cell>
          <cell r="B18" t="str">
            <v>2x (7xPo-Ne)</v>
          </cell>
          <cell r="C18">
            <v>43.48</v>
          </cell>
          <cell r="D18">
            <v>17.399999999999999</v>
          </cell>
        </row>
        <row r="19">
          <cell r="A19">
            <v>12</v>
          </cell>
          <cell r="B19" t="str">
            <v>2x(Po-Pá)+1x(So,Ne)</v>
          </cell>
          <cell r="C19">
            <v>43.48</v>
          </cell>
          <cell r="D19">
            <v>8.6999999999999993</v>
          </cell>
        </row>
        <row r="20">
          <cell r="A20">
            <v>11</v>
          </cell>
          <cell r="B20" t="str">
            <v>2x(Po-Pá)+1xSo</v>
          </cell>
          <cell r="C20">
            <v>43.48</v>
          </cell>
          <cell r="D20">
            <v>4.3499999999999996</v>
          </cell>
        </row>
        <row r="21">
          <cell r="A21">
            <v>10</v>
          </cell>
          <cell r="B21" t="str">
            <v>2x (5xPo-Pá)</v>
          </cell>
          <cell r="C21">
            <v>43.48</v>
          </cell>
          <cell r="D21">
            <v>0</v>
          </cell>
        </row>
        <row r="22">
          <cell r="A22">
            <v>9</v>
          </cell>
          <cell r="B22" t="str">
            <v>1x(5xPo-Pá)+2xSo,Ne</v>
          </cell>
          <cell r="C22">
            <v>21.74</v>
          </cell>
          <cell r="D22">
            <v>17.399999999999999</v>
          </cell>
        </row>
        <row r="23">
          <cell r="A23">
            <v>7</v>
          </cell>
          <cell r="B23" t="str">
            <v>7x Po-Ne</v>
          </cell>
          <cell r="C23">
            <v>21.74</v>
          </cell>
          <cell r="D23">
            <v>8.6999999999999993</v>
          </cell>
        </row>
        <row r="24">
          <cell r="A24">
            <v>6</v>
          </cell>
          <cell r="B24" t="str">
            <v>6x Po-So</v>
          </cell>
          <cell r="C24">
            <v>21.74</v>
          </cell>
          <cell r="D24">
            <v>4.3499999999999996</v>
          </cell>
        </row>
        <row r="25">
          <cell r="A25">
            <v>5</v>
          </cell>
          <cell r="B25" t="str">
            <v>5x Po-Pá</v>
          </cell>
          <cell r="C25">
            <v>21.74</v>
          </cell>
          <cell r="D25">
            <v>0</v>
          </cell>
        </row>
        <row r="26">
          <cell r="A26">
            <v>4</v>
          </cell>
          <cell r="B26" t="str">
            <v>4x Po-Pá</v>
          </cell>
          <cell r="C26">
            <v>17.399999999999999</v>
          </cell>
          <cell r="D26">
            <v>0</v>
          </cell>
        </row>
        <row r="27">
          <cell r="A27">
            <v>3</v>
          </cell>
          <cell r="B27" t="str">
            <v>3x týdně</v>
          </cell>
          <cell r="C27">
            <v>13</v>
          </cell>
          <cell r="D27">
            <v>0</v>
          </cell>
        </row>
        <row r="28">
          <cell r="A28">
            <v>2.5</v>
          </cell>
          <cell r="B28" t="str">
            <v>2,5x týdně</v>
          </cell>
          <cell r="C28">
            <v>10.88</v>
          </cell>
          <cell r="D28">
            <v>0</v>
          </cell>
        </row>
        <row r="29">
          <cell r="A29">
            <v>2.2000000000000002</v>
          </cell>
          <cell r="B29" t="str">
            <v>1xSo,Ne</v>
          </cell>
          <cell r="C29">
            <v>0</v>
          </cell>
          <cell r="D29">
            <v>8.6999999999999993</v>
          </cell>
        </row>
        <row r="30">
          <cell r="A30" t="str">
            <v>a</v>
          </cell>
          <cell r="B30" t="str">
            <v>1xPátek,Sobota</v>
          </cell>
          <cell r="C30">
            <v>4.3499999999999996</v>
          </cell>
          <cell r="D30">
            <v>4.3499999999999996</v>
          </cell>
        </row>
        <row r="31">
          <cell r="A31" t="str">
            <v>b</v>
          </cell>
          <cell r="B31" t="str">
            <v>1xneděle</v>
          </cell>
          <cell r="C31">
            <v>0</v>
          </cell>
          <cell r="D31">
            <v>4.3499999999999996</v>
          </cell>
        </row>
        <row r="32">
          <cell r="A32">
            <v>2</v>
          </cell>
          <cell r="B32" t="str">
            <v>2x týdně</v>
          </cell>
          <cell r="C32">
            <v>8.6999999999999993</v>
          </cell>
          <cell r="D32">
            <v>0</v>
          </cell>
        </row>
        <row r="33">
          <cell r="A33">
            <v>1</v>
          </cell>
          <cell r="B33" t="str">
            <v>1x týdně</v>
          </cell>
          <cell r="C33">
            <v>4.3499999999999996</v>
          </cell>
          <cell r="D33">
            <v>0</v>
          </cell>
        </row>
        <row r="34">
          <cell r="A34">
            <v>0.5</v>
          </cell>
          <cell r="B34" t="str">
            <v>2x měs.</v>
          </cell>
          <cell r="C34">
            <v>2</v>
          </cell>
          <cell r="D34">
            <v>0</v>
          </cell>
        </row>
        <row r="35">
          <cell r="A35" t="str">
            <v>z</v>
          </cell>
          <cell r="B35" t="str">
            <v>10 sněhodnů v měsíci</v>
          </cell>
          <cell r="C35">
            <v>5</v>
          </cell>
          <cell r="D35">
            <v>5</v>
          </cell>
        </row>
        <row r="36">
          <cell r="A36" t="str">
            <v>ss</v>
          </cell>
          <cell r="B36" t="str">
            <v>Zajišťuje stálá služba Po-Pá.</v>
          </cell>
        </row>
        <row r="37">
          <cell r="A37" t="str">
            <v>není př.</v>
          </cell>
          <cell r="B37" t="str">
            <v>Není předmětem dod.úklidu.</v>
          </cell>
        </row>
        <row r="38">
          <cell r="A38">
            <v>0.08</v>
          </cell>
          <cell r="B38" t="str">
            <v>4xročně</v>
          </cell>
          <cell r="C38">
            <v>0.33</v>
          </cell>
          <cell r="D38">
            <v>0</v>
          </cell>
        </row>
        <row r="39">
          <cell r="A39">
            <v>0.04</v>
          </cell>
          <cell r="B39" t="str">
            <v>2xročně</v>
          </cell>
          <cell r="C39">
            <v>0.16666666666666666</v>
          </cell>
          <cell r="D39">
            <v>0</v>
          </cell>
        </row>
        <row r="40">
          <cell r="A40">
            <v>0.02</v>
          </cell>
          <cell r="B40" t="str">
            <v>1xročně</v>
          </cell>
          <cell r="C40">
            <v>8.3333333333333329E-2</v>
          </cell>
          <cell r="D40">
            <v>0</v>
          </cell>
        </row>
        <row r="41">
          <cell r="A41">
            <v>0.25</v>
          </cell>
          <cell r="B41" t="str">
            <v>1x měs.</v>
          </cell>
          <cell r="C41">
            <v>1</v>
          </cell>
          <cell r="D41">
            <v>0</v>
          </cell>
        </row>
      </sheetData>
      <sheetData sheetId="11" refreshError="1"/>
      <sheetData sheetId="12"/>
      <sheetData sheetId="13">
        <row r="2">
          <cell r="A2" t="str">
            <v>Air-escape grate</v>
          </cell>
        </row>
        <row r="3">
          <cell r="A3" t="str">
            <v>Air-escape grate, built-in</v>
          </cell>
        </row>
        <row r="4">
          <cell r="A4" t="str">
            <v>Airing (window opening)</v>
          </cell>
        </row>
        <row r="5">
          <cell r="A5" t="str">
            <v>Alarm lamp</v>
          </cell>
        </row>
        <row r="6">
          <cell r="A6" t="str">
            <v>Altarpiece</v>
          </cell>
        </row>
        <row r="7">
          <cell r="A7" t="str">
            <v>Altartable</v>
          </cell>
        </row>
        <row r="8">
          <cell r="A8" t="str">
            <v>Anaesthesia equipment</v>
          </cell>
        </row>
        <row r="9">
          <cell r="A9" t="str">
            <v>Ash-bucket</v>
          </cell>
        </row>
        <row r="10">
          <cell r="A10" t="str">
            <v>Ash-bucket, big</v>
          </cell>
        </row>
        <row r="11">
          <cell r="A11" t="str">
            <v>Ashtray</v>
          </cell>
        </row>
        <row r="12">
          <cell r="A12" t="str">
            <v>Ashtray, big or with lid</v>
          </cell>
        </row>
        <row r="13">
          <cell r="A13" t="str">
            <v>Banister, main area</v>
          </cell>
        </row>
        <row r="14">
          <cell r="A14" t="str">
            <v>Banister, other area</v>
          </cell>
        </row>
        <row r="15">
          <cell r="A15" t="str">
            <v>Bathtub, baby</v>
          </cell>
        </row>
        <row r="16">
          <cell r="A16" t="str">
            <v>Bathtub, ordinary</v>
          </cell>
        </row>
        <row r="17">
          <cell r="A17" t="str">
            <v>Bed panel</v>
          </cell>
        </row>
        <row r="18">
          <cell r="A18" t="str">
            <v>Bed table, total washing</v>
          </cell>
        </row>
        <row r="19">
          <cell r="A19" t="str">
            <v>Bed, end+traction+sides</v>
          </cell>
        </row>
        <row r="20">
          <cell r="A20" t="str">
            <v>Bed, table+dustbin+freesurfaces</v>
          </cell>
        </row>
        <row r="21">
          <cell r="A21" t="str">
            <v>Bed, total washing</v>
          </cell>
        </row>
        <row r="22">
          <cell r="A22" t="str">
            <v>Bedpan rack</v>
          </cell>
        </row>
        <row r="23">
          <cell r="A23" t="str">
            <v>Bedpan washer</v>
          </cell>
        </row>
        <row r="24">
          <cell r="A24" t="str">
            <v>Bench</v>
          </cell>
        </row>
        <row r="25">
          <cell r="A25" t="str">
            <v>Bidet</v>
          </cell>
        </row>
        <row r="26">
          <cell r="A26" t="str">
            <v>Blackboard</v>
          </cell>
        </row>
        <row r="27">
          <cell r="A27" t="str">
            <v>Board, black-</v>
          </cell>
        </row>
        <row r="28">
          <cell r="A28" t="str">
            <v>Board, bulletin</v>
          </cell>
        </row>
        <row r="29">
          <cell r="A29" t="str">
            <v>Board, drawing-</v>
          </cell>
        </row>
        <row r="30">
          <cell r="A30" t="str">
            <v>Board, information</v>
          </cell>
        </row>
        <row r="31">
          <cell r="A31" t="str">
            <v>Box-office window</v>
          </cell>
        </row>
        <row r="32">
          <cell r="A32" t="str">
            <v>Bulletin board</v>
          </cell>
        </row>
        <row r="33">
          <cell r="A33" t="str">
            <v>Cable panel</v>
          </cell>
        </row>
        <row r="34">
          <cell r="A34" t="str">
            <v>Cash register</v>
          </cell>
        </row>
        <row r="35">
          <cell r="A35" t="str">
            <v>Ceiling</v>
          </cell>
        </row>
        <row r="36">
          <cell r="A36" t="str">
            <v>Central vacum system (steril area)</v>
          </cell>
        </row>
        <row r="37">
          <cell r="A37" t="str">
            <v>Ceran field, kitchen</v>
          </cell>
        </row>
        <row r="38">
          <cell r="A38" t="str">
            <v>Chair, arm-</v>
          </cell>
        </row>
        <row r="39">
          <cell r="A39" t="str">
            <v>Chair, arm- (upholster)</v>
          </cell>
        </row>
        <row r="40">
          <cell r="A40" t="str">
            <v>Chair, big</v>
          </cell>
        </row>
        <row r="41">
          <cell r="A41" t="str">
            <v>Chair, Dentist</v>
          </cell>
        </row>
        <row r="42">
          <cell r="A42" t="str">
            <v>Chair, ordinary</v>
          </cell>
        </row>
        <row r="43">
          <cell r="A43" t="str">
            <v>Chair, ordinary (steril area)</v>
          </cell>
        </row>
        <row r="44">
          <cell r="A44" t="str">
            <v>Chair, ordinary (steril-bloody area)</v>
          </cell>
        </row>
        <row r="45">
          <cell r="A45" t="str">
            <v>Chair, placing on/under table</v>
          </cell>
        </row>
        <row r="46">
          <cell r="A46" t="str">
            <v>Chair, putting up</v>
          </cell>
        </row>
        <row r="47">
          <cell r="A47" t="str">
            <v>Clock, on wall</v>
          </cell>
        </row>
        <row r="48">
          <cell r="A48" t="str">
            <v>Clothes rack (steril-bloody area)</v>
          </cell>
        </row>
        <row r="49">
          <cell r="A49" t="str">
            <v>Clothes-rack</v>
          </cell>
        </row>
        <row r="50">
          <cell r="A50" t="str">
            <v>Clothes-rack (steril area)</v>
          </cell>
        </row>
        <row r="51">
          <cell r="A51" t="str">
            <v>Coffin trolley</v>
          </cell>
        </row>
        <row r="52">
          <cell r="A52" t="str">
            <v>Column</v>
          </cell>
        </row>
        <row r="53">
          <cell r="A53" t="str">
            <v>Commode, sanitary</v>
          </cell>
        </row>
        <row r="54">
          <cell r="A54" t="str">
            <v>Control panel, big</v>
          </cell>
        </row>
        <row r="55">
          <cell r="A55" t="str">
            <v>Control panel, smal</v>
          </cell>
        </row>
        <row r="56">
          <cell r="A56" t="str">
            <v>Couch base (steril area)</v>
          </cell>
        </row>
        <row r="57">
          <cell r="A57" t="str">
            <v>Couch with pillows, big (steril area)</v>
          </cell>
        </row>
        <row r="58">
          <cell r="A58" t="str">
            <v>Couch with pillows, big (steril-bloody area)</v>
          </cell>
        </row>
        <row r="59">
          <cell r="A59" t="str">
            <v>Couch with pillows, small (steril area)</v>
          </cell>
        </row>
        <row r="60">
          <cell r="A60" t="str">
            <v>Couch with pillows, small (steril-bloody area)</v>
          </cell>
        </row>
        <row r="61">
          <cell r="A61" t="str">
            <v>Couch, baby (steril area)</v>
          </cell>
        </row>
        <row r="62">
          <cell r="A62" t="str">
            <v>Couch, fabric</v>
          </cell>
        </row>
        <row r="63">
          <cell r="A63" t="str">
            <v>Couch, legs/weels (medical area)</v>
          </cell>
        </row>
        <row r="64">
          <cell r="A64" t="str">
            <v>Couch, legs/weels (steril area)</v>
          </cell>
        </row>
        <row r="65">
          <cell r="A65" t="str">
            <v>Couch, legs/weels (steril-bloody area)</v>
          </cell>
        </row>
        <row r="66">
          <cell r="A66" t="str">
            <v>Counter</v>
          </cell>
        </row>
        <row r="67">
          <cell r="A67" t="str">
            <v>Counter with glass+hatch</v>
          </cell>
        </row>
        <row r="68">
          <cell r="A68" t="str">
            <v>Cross</v>
          </cell>
        </row>
        <row r="69">
          <cell r="A69" t="str">
            <v>Cupboard door</v>
          </cell>
        </row>
        <row r="70">
          <cell r="A70" t="str">
            <v>Cupboard, glass</v>
          </cell>
        </row>
        <row r="71">
          <cell r="A71" t="str">
            <v>Cupboard, ordinary</v>
          </cell>
        </row>
        <row r="72">
          <cell r="A72" t="str">
            <v>Cupboard, stainless</v>
          </cell>
        </row>
        <row r="73">
          <cell r="A73" t="str">
            <v>Desk 1 (1m)</v>
          </cell>
        </row>
        <row r="74">
          <cell r="A74" t="str">
            <v>Desk 2 (1,5m)</v>
          </cell>
        </row>
        <row r="75">
          <cell r="A75" t="str">
            <v>Desk 3 (2m)</v>
          </cell>
        </row>
        <row r="76">
          <cell r="A76" t="str">
            <v>Desk and chair combined (school)</v>
          </cell>
        </row>
        <row r="77">
          <cell r="A77" t="str">
            <v>Desk, ordinary</v>
          </cell>
        </row>
        <row r="78">
          <cell r="A78" t="str">
            <v>Desk, wall fitted</v>
          </cell>
        </row>
        <row r="79">
          <cell r="A79" t="str">
            <v>Dishwasher, stand alone</v>
          </cell>
        </row>
        <row r="80">
          <cell r="A80" t="str">
            <v>Dispenser</v>
          </cell>
        </row>
        <row r="81">
          <cell r="A81" t="str">
            <v>Dissecting table (steril-bloody area)</v>
          </cell>
        </row>
        <row r="82">
          <cell r="A82" t="str">
            <v>Dissecting table, double bottom (steril-bloody area)</v>
          </cell>
        </row>
        <row r="83">
          <cell r="A83" t="str">
            <v>Door handle</v>
          </cell>
        </row>
        <row r="84">
          <cell r="A84" t="str">
            <v>Door sluice</v>
          </cell>
        </row>
        <row r="85">
          <cell r="A85" t="str">
            <v>Doorside, all glass</v>
          </cell>
        </row>
        <row r="86">
          <cell r="A86" t="str">
            <v>Doorside, ordinary</v>
          </cell>
        </row>
        <row r="87">
          <cell r="A87" t="str">
            <v>Doorside, stainless</v>
          </cell>
        </row>
        <row r="88">
          <cell r="A88" t="str">
            <v>Drawing board</v>
          </cell>
        </row>
        <row r="89">
          <cell r="A89" t="str">
            <v>Drinking fountain</v>
          </cell>
        </row>
        <row r="90">
          <cell r="A90" t="str">
            <v>Drip basin</v>
          </cell>
        </row>
        <row r="91">
          <cell r="A91" t="str">
            <v>Drip rack</v>
          </cell>
        </row>
        <row r="92">
          <cell r="A92" t="str">
            <v>Drip rack (steril area)</v>
          </cell>
        </row>
        <row r="93">
          <cell r="A93" t="str">
            <v>Drip rack (steril-bloody area)</v>
          </cell>
        </row>
        <row r="94">
          <cell r="A94" t="str">
            <v>Entrace grating</v>
          </cell>
        </row>
        <row r="95">
          <cell r="A95" t="str">
            <v>Equipment, anaesthesia</v>
          </cell>
        </row>
        <row r="96">
          <cell r="A96" t="str">
            <v>Equipment, Office other</v>
          </cell>
        </row>
        <row r="97">
          <cell r="A97" t="str">
            <v>Equipment, sluice</v>
          </cell>
        </row>
        <row r="98">
          <cell r="A98" t="str">
            <v>Equipment, sluice (steril-bloodyarea)</v>
          </cell>
        </row>
        <row r="99">
          <cell r="A99" t="str">
            <v>Equipment, X-ray</v>
          </cell>
        </row>
        <row r="100">
          <cell r="A100" t="str">
            <v>Fire blanket</v>
          </cell>
        </row>
        <row r="101">
          <cell r="A101" t="str">
            <v>Fire extinguisher</v>
          </cell>
        </row>
        <row r="102">
          <cell r="A102" t="str">
            <v>Fire extinguisher set</v>
          </cell>
        </row>
        <row r="103">
          <cell r="A103" t="str">
            <v>Floor grate, iron</v>
          </cell>
        </row>
        <row r="104">
          <cell r="A104" t="str">
            <v>Floor grating, wood (sanitary)</v>
          </cell>
        </row>
        <row r="105">
          <cell r="A105" t="str">
            <v>Flower box</v>
          </cell>
        </row>
        <row r="106">
          <cell r="A106" t="str">
            <v>Fluorescent tube</v>
          </cell>
        </row>
        <row r="107">
          <cell r="A107" t="str">
            <v>Foot scraper (iron)</v>
          </cell>
        </row>
        <row r="108">
          <cell r="A108" t="str">
            <v>Footbath</v>
          </cell>
        </row>
        <row r="109">
          <cell r="A109" t="str">
            <v>Fuse box, on wall</v>
          </cell>
        </row>
        <row r="110">
          <cell r="A110" t="str">
            <v>Gas cooker</v>
          </cell>
        </row>
        <row r="111">
          <cell r="A111" t="str">
            <v>Gas ring, kitchen</v>
          </cell>
        </row>
        <row r="112">
          <cell r="A112" t="str">
            <v>Glass panel in wall, 3 metres</v>
          </cell>
        </row>
        <row r="113">
          <cell r="A113" t="str">
            <v>Hanging panel</v>
          </cell>
        </row>
        <row r="114">
          <cell r="A114" t="str">
            <v>Hanging panel (steril area)</v>
          </cell>
        </row>
        <row r="115">
          <cell r="A115" t="str">
            <v>High panel/handrail</v>
          </cell>
        </row>
        <row r="116">
          <cell r="A116" t="str">
            <v>Hot-plate, kitchen</v>
          </cell>
        </row>
        <row r="117">
          <cell r="A117" t="str">
            <v>Hygiene bag, replace</v>
          </cell>
        </row>
        <row r="118">
          <cell r="A118" t="str">
            <v>Information board</v>
          </cell>
        </row>
        <row r="119">
          <cell r="A119" t="str">
            <v>Instrumental tray+rack (steril-bloody area)</v>
          </cell>
        </row>
        <row r="120">
          <cell r="A120" t="str">
            <v>Instrumental tray+rack, big (steril-bloody area)</v>
          </cell>
        </row>
        <row r="121">
          <cell r="A121" t="str">
            <v>Intercom</v>
          </cell>
        </row>
        <row r="122">
          <cell r="A122" t="str">
            <v>Interior glass</v>
          </cell>
        </row>
        <row r="123">
          <cell r="A123" t="str">
            <v>Kick plate</v>
          </cell>
        </row>
        <row r="124">
          <cell r="A124" t="str">
            <v>Lamp, adjustable</v>
          </cell>
        </row>
        <row r="125">
          <cell r="A125" t="str">
            <v>Lamp, bracket</v>
          </cell>
        </row>
        <row r="126">
          <cell r="A126" t="str">
            <v>Lamp, floor</v>
          </cell>
        </row>
        <row r="127">
          <cell r="A127" t="str">
            <v>Lamp, high</v>
          </cell>
        </row>
        <row r="128">
          <cell r="A128" t="str">
            <v>Lamp, low</v>
          </cell>
        </row>
        <row r="129">
          <cell r="A129" t="str">
            <v>Lamp, operating lamp</v>
          </cell>
        </row>
        <row r="130">
          <cell r="A130" t="str">
            <v>Lamp, panel</v>
          </cell>
        </row>
        <row r="131">
          <cell r="A131" t="str">
            <v>Lamp, table</v>
          </cell>
        </row>
        <row r="132">
          <cell r="A132" t="str">
            <v>Locker</v>
          </cell>
        </row>
        <row r="133">
          <cell r="A133" t="str">
            <v>Mat, office</v>
          </cell>
        </row>
        <row r="134">
          <cell r="A134" t="str">
            <v>Mat, ordinary</v>
          </cell>
        </row>
        <row r="135">
          <cell r="A135" t="str">
            <v>Metal fittings (small)</v>
          </cell>
        </row>
        <row r="136">
          <cell r="A136" t="str">
            <v>Meter box</v>
          </cell>
        </row>
        <row r="137">
          <cell r="A137" t="str">
            <v>Mirror</v>
          </cell>
        </row>
        <row r="138">
          <cell r="A138" t="str">
            <v>Napkin holder (steril-bloody area)</v>
          </cell>
        </row>
        <row r="139">
          <cell r="A139" t="str">
            <v>Observer screen</v>
          </cell>
        </row>
        <row r="140">
          <cell r="A140" t="str">
            <v>Observer screen (steril area)</v>
          </cell>
        </row>
        <row r="141">
          <cell r="A141" t="str">
            <v>Office equipment</v>
          </cell>
        </row>
        <row r="142">
          <cell r="A142" t="str">
            <v>Partition</v>
          </cell>
        </row>
        <row r="143">
          <cell r="A143" t="str">
            <v>Picture</v>
          </cell>
        </row>
        <row r="144">
          <cell r="A144" t="str">
            <v>Pillar</v>
          </cell>
        </row>
        <row r="145">
          <cell r="A145" t="str">
            <v>Power unit (steril area)</v>
          </cell>
        </row>
        <row r="146">
          <cell r="A146" t="str">
            <v>Rack</v>
          </cell>
        </row>
        <row r="147">
          <cell r="A147" t="str">
            <v>Radiator</v>
          </cell>
        </row>
        <row r="148">
          <cell r="A148" t="str">
            <v>Radio</v>
          </cell>
        </row>
        <row r="149">
          <cell r="A149" t="str">
            <v>Rail</v>
          </cell>
        </row>
        <row r="150">
          <cell r="A150" t="str">
            <v>Refigerator, stand alone</v>
          </cell>
        </row>
        <row r="151">
          <cell r="A151" t="str">
            <v>Refrigerator, defrosting</v>
          </cell>
        </row>
        <row r="152">
          <cell r="A152" t="str">
            <v>Roller table, stainless big (steril area)</v>
          </cell>
        </row>
        <row r="153">
          <cell r="A153" t="str">
            <v>Roller table, stainless big (steril-bloody area)</v>
          </cell>
        </row>
        <row r="154">
          <cell r="A154" t="str">
            <v>Roller table, stainless small</v>
          </cell>
        </row>
        <row r="155">
          <cell r="A155" t="str">
            <v>Roller table, stainless small (steril area)</v>
          </cell>
        </row>
        <row r="156">
          <cell r="A156" t="str">
            <v>Roller table, stainless small (steril-bloody area)</v>
          </cell>
        </row>
        <row r="157">
          <cell r="A157" t="str">
            <v>Roller table, wood small</v>
          </cell>
        </row>
        <row r="158">
          <cell r="A158" t="str">
            <v>Rubber mat</v>
          </cell>
        </row>
        <row r="159">
          <cell r="A159" t="str">
            <v>Running groove/lift</v>
          </cell>
        </row>
        <row r="160">
          <cell r="A160" t="str">
            <v>Scales</v>
          </cell>
        </row>
        <row r="161">
          <cell r="A161" t="str">
            <v>Screen</v>
          </cell>
        </row>
        <row r="162">
          <cell r="A162" t="str">
            <v>Serving hatch</v>
          </cell>
        </row>
        <row r="163">
          <cell r="A163" t="str">
            <v>Shelf</v>
          </cell>
        </row>
        <row r="164">
          <cell r="A164" t="str">
            <v>Shelves</v>
          </cell>
        </row>
        <row r="165">
          <cell r="A165" t="str">
            <v>Shower cubicle</v>
          </cell>
        </row>
        <row r="166">
          <cell r="A166" t="str">
            <v>Shower fitting</v>
          </cell>
        </row>
        <row r="167">
          <cell r="A167" t="str">
            <v>Sink with fittings+table (1,5m), stainless</v>
          </cell>
        </row>
        <row r="168">
          <cell r="A168" t="str">
            <v>Sink with mirror+shelf</v>
          </cell>
        </row>
        <row r="169">
          <cell r="A169" t="str">
            <v>Sink, stainless ordinary</v>
          </cell>
        </row>
        <row r="170">
          <cell r="A170" t="str">
            <v>Sink, stainless with grate</v>
          </cell>
        </row>
        <row r="171">
          <cell r="A171" t="str">
            <v>Skirting board</v>
          </cell>
        </row>
        <row r="172">
          <cell r="A172" t="str">
            <v>Slop sink, large</v>
          </cell>
        </row>
        <row r="173">
          <cell r="A173" t="str">
            <v>Slop sink, small</v>
          </cell>
        </row>
        <row r="174">
          <cell r="A174" t="str">
            <v>Sluicing equipment</v>
          </cell>
        </row>
        <row r="175">
          <cell r="A175" t="str">
            <v>Sluicing equipment (steril-bloody area)</v>
          </cell>
        </row>
        <row r="176">
          <cell r="A176" t="str">
            <v>Soap cup</v>
          </cell>
        </row>
        <row r="177">
          <cell r="A177" t="str">
            <v>Sofa</v>
          </cell>
        </row>
        <row r="178">
          <cell r="A178" t="str">
            <v>Stool</v>
          </cell>
        </row>
        <row r="179">
          <cell r="A179" t="str">
            <v>Stool, big (steril-bloody area)</v>
          </cell>
        </row>
        <row r="180">
          <cell r="A180" t="str">
            <v>Switchboard</v>
          </cell>
        </row>
        <row r="181">
          <cell r="A181" t="str">
            <v>Switches, Sockets</v>
          </cell>
        </row>
        <row r="182">
          <cell r="A182" t="str">
            <v>Table for  gas rings</v>
          </cell>
        </row>
        <row r="183">
          <cell r="A183" t="str">
            <v>Table, canteen</v>
          </cell>
        </row>
        <row r="184">
          <cell r="A184" t="str">
            <v>Table, drawing</v>
          </cell>
        </row>
        <row r="185">
          <cell r="A185" t="str">
            <v>Table, glass small</v>
          </cell>
        </row>
        <row r="186">
          <cell r="A186" t="str">
            <v>Table, kitchen</v>
          </cell>
        </row>
        <row r="187">
          <cell r="A187" t="str">
            <v>Table, ordinary</v>
          </cell>
        </row>
        <row r="188">
          <cell r="A188" t="str">
            <v>Table, side table</v>
          </cell>
        </row>
        <row r="189">
          <cell r="A189" t="str">
            <v>Table, stainless</v>
          </cell>
        </row>
        <row r="190">
          <cell r="A190" t="str">
            <v>Table, stainless with sink+fittings (1,5m)</v>
          </cell>
        </row>
        <row r="191">
          <cell r="A191" t="str">
            <v>Table, tennis table</v>
          </cell>
        </row>
        <row r="192">
          <cell r="A192" t="str">
            <v>Table, trolley</v>
          </cell>
        </row>
        <row r="193">
          <cell r="A193" t="str">
            <v>Teacher desk (1,5m)</v>
          </cell>
        </row>
        <row r="194">
          <cell r="A194" t="str">
            <v>Telefax, Telex</v>
          </cell>
        </row>
        <row r="195">
          <cell r="A195" t="str">
            <v>Telephone</v>
          </cell>
        </row>
        <row r="196">
          <cell r="A196" t="str">
            <v>Telephone, booth</v>
          </cell>
        </row>
        <row r="197">
          <cell r="A197" t="str">
            <v>Telephone, vault</v>
          </cell>
        </row>
        <row r="198">
          <cell r="A198" t="str">
            <v>Tiles</v>
          </cell>
        </row>
        <row r="199">
          <cell r="A199" t="str">
            <v>Towel rack</v>
          </cell>
        </row>
        <row r="200">
          <cell r="A200" t="str">
            <v>Tube</v>
          </cell>
        </row>
        <row r="201">
          <cell r="A201" t="str">
            <v>TV set</v>
          </cell>
        </row>
        <row r="202">
          <cell r="A202" t="str">
            <v>TV set (steril area)</v>
          </cell>
        </row>
        <row r="203">
          <cell r="A203" t="str">
            <v>Urinal</v>
          </cell>
        </row>
        <row r="204">
          <cell r="A204" t="str">
            <v>Venetian blind</v>
          </cell>
        </row>
        <row r="205">
          <cell r="A205" t="str">
            <v>Wainscot, high</v>
          </cell>
        </row>
        <row r="206">
          <cell r="A206" t="str">
            <v>Walking bar+floor</v>
          </cell>
        </row>
        <row r="207">
          <cell r="A207" t="str">
            <v>Wall bar</v>
          </cell>
        </row>
        <row r="208">
          <cell r="A208" t="str">
            <v>Wall surface, glass</v>
          </cell>
        </row>
        <row r="209">
          <cell r="A209" t="str">
            <v>Wall surface, ordinary</v>
          </cell>
        </row>
        <row r="210">
          <cell r="A210" t="str">
            <v>Wall surface, stainless</v>
          </cell>
        </row>
        <row r="211">
          <cell r="A211" t="str">
            <v>Wall surface, tiles</v>
          </cell>
        </row>
        <row r="212">
          <cell r="A212" t="str">
            <v>Wall surface, wood</v>
          </cell>
        </row>
        <row r="213">
          <cell r="A213" t="str">
            <v>Wardrobe</v>
          </cell>
        </row>
        <row r="214">
          <cell r="A214" t="str">
            <v>Wardrobe, total washing</v>
          </cell>
        </row>
        <row r="215">
          <cell r="A215" t="str">
            <v>Washbasin</v>
          </cell>
        </row>
        <row r="216">
          <cell r="A216" t="str">
            <v>Washbasin rack</v>
          </cell>
        </row>
        <row r="217">
          <cell r="A217" t="str">
            <v>Washbasin rack (steril area)</v>
          </cell>
        </row>
        <row r="218">
          <cell r="A218" t="str">
            <v>Washbasin rack (steril-bloody area)</v>
          </cell>
        </row>
        <row r="219">
          <cell r="A219" t="str">
            <v>Washbasin with mirror+shelf (compl.)</v>
          </cell>
        </row>
        <row r="220">
          <cell r="A220" t="str">
            <v>Washtrough</v>
          </cell>
        </row>
        <row r="221">
          <cell r="A221" t="str">
            <v>Waste container</v>
          </cell>
        </row>
        <row r="222">
          <cell r="A222" t="str">
            <v>Waste container rack</v>
          </cell>
        </row>
        <row r="223">
          <cell r="A223" t="str">
            <v>Wastepaper basket</v>
          </cell>
        </row>
        <row r="224">
          <cell r="A224" t="str">
            <v>WC bowl, built in cistern</v>
          </cell>
        </row>
        <row r="225">
          <cell r="A225" t="str">
            <v>WC bowl, high cistern</v>
          </cell>
        </row>
        <row r="226">
          <cell r="A226" t="str">
            <v>WC bowl, low cistern</v>
          </cell>
        </row>
        <row r="227">
          <cell r="A227" t="str">
            <v>Wheels, 4 (scrub)</v>
          </cell>
        </row>
        <row r="228">
          <cell r="A228" t="str">
            <v>Window frame</v>
          </cell>
        </row>
        <row r="229">
          <cell r="A229" t="str">
            <v>Window frame, bottom</v>
          </cell>
        </row>
        <row r="230">
          <cell r="A230" t="str">
            <v>Window opening (airing)</v>
          </cell>
        </row>
        <row r="231">
          <cell r="A231" t="str">
            <v>Window sill</v>
          </cell>
        </row>
        <row r="232">
          <cell r="A232" t="str">
            <v>Wooden grate</v>
          </cell>
        </row>
        <row r="233">
          <cell r="A233" t="str">
            <v>X-ray equipment</v>
          </cell>
        </row>
      </sheetData>
      <sheetData sheetId="14">
        <row r="1">
          <cell r="A1" t="str">
            <v>ZielöSAnbot</v>
          </cell>
          <cell r="B1" t="str">
            <v>ZielNLK</v>
          </cell>
          <cell r="C1" t="str">
            <v>ZielöSStd</v>
          </cell>
          <cell r="D1" t="str">
            <v>Standardwerte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íloha_15_Rekapitulace"/>
      <sheetName val="Příloha_8_ceník_pravid_úklid"/>
      <sheetName val="Příloha_9_ceník_mimořádný_úklid"/>
      <sheetName val="Příloha7_1_ŘEDITELSTVÍ_VRÁTNICE"/>
      <sheetName val="Příloha7_2_KOŽNÍ"/>
      <sheetName val="Příloha7_3_SPRÁVNÍ BUDOVA"/>
      <sheetName val="Příloha7_4_IDG"/>
      <sheetName val="Příloha7_5_INTERNA"/>
      <sheetName val="Příloha7_6_MONOBLOK"/>
      <sheetName val="Příloha7_7_PEDIATRIE"/>
      <sheetName val="Příloha7_8_NEUROLOGIE"/>
      <sheetName val="Příloha7_9_Lékárna"/>
      <sheetName val="Seznam HS - nemaš"/>
      <sheetName val="Příloha7_10_Dispečink"/>
    </sheetNames>
    <sheetDataSet>
      <sheetData sheetId="0"/>
      <sheetData sheetId="1">
        <row r="11">
          <cell r="B11" t="str">
            <v>ZDR0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Interna lůžka</v>
          </cell>
        </row>
        <row r="2">
          <cell r="A2" t="str">
            <v>Interna JIP</v>
          </cell>
        </row>
        <row r="3">
          <cell r="A3" t="str">
            <v>Interna ambulance</v>
          </cell>
        </row>
        <row r="4">
          <cell r="A4" t="str">
            <v>Interna ambulance diabetologická</v>
          </cell>
        </row>
        <row r="5">
          <cell r="A5" t="str">
            <v>Interna ambulance kardio</v>
          </cell>
        </row>
        <row r="6">
          <cell r="A6" t="str">
            <v>Interna ambulance hepatální</v>
          </cell>
        </row>
        <row r="7">
          <cell r="A7" t="str">
            <v>Interna ambulance gastro</v>
          </cell>
        </row>
        <row r="8">
          <cell r="A8" t="str">
            <v>Neurologie lůžka</v>
          </cell>
        </row>
        <row r="9">
          <cell r="A9" t="str">
            <v>Neurologie JIP</v>
          </cell>
        </row>
        <row r="10">
          <cell r="A10" t="str">
            <v>Neurologie ambulance</v>
          </cell>
        </row>
        <row r="11">
          <cell r="A11" t="str">
            <v>Neurologie ambulance EEG</v>
          </cell>
        </row>
        <row r="12">
          <cell r="A12" t="str">
            <v>Neurologie ambulance EMG</v>
          </cell>
        </row>
        <row r="13">
          <cell r="A13" t="str">
            <v>Neurologie ambulance Polička</v>
          </cell>
        </row>
        <row r="14">
          <cell r="A14" t="str">
            <v>Neurologie ambulance UZ Karotid</v>
          </cell>
        </row>
        <row r="15">
          <cell r="A15" t="str">
            <v>Dětské lůžka</v>
          </cell>
        </row>
        <row r="16">
          <cell r="A16" t="str">
            <v>Dětské ambulance alergologická</v>
          </cell>
        </row>
        <row r="17">
          <cell r="A17" t="str">
            <v>Dětské ambulance endokrinologie</v>
          </cell>
        </row>
        <row r="18">
          <cell r="A18" t="str">
            <v>Dětské děti a dorost</v>
          </cell>
        </row>
        <row r="19">
          <cell r="A19" t="str">
            <v>Dětské ambulance</v>
          </cell>
        </row>
        <row r="20">
          <cell r="A20" t="str">
            <v>Dětské ambulance pohotovost</v>
          </cell>
        </row>
        <row r="21">
          <cell r="A21" t="str">
            <v>LDN následná péče lůžka</v>
          </cell>
        </row>
        <row r="22">
          <cell r="A22" t="str">
            <v>Psychiatrie ambulance</v>
          </cell>
        </row>
        <row r="23">
          <cell r="A23" t="str">
            <v>Kožní lůžka</v>
          </cell>
        </row>
        <row r="24">
          <cell r="A24" t="str">
            <v>Kožní ambulance</v>
          </cell>
        </row>
        <row r="25">
          <cell r="A25" t="str">
            <v>Rehabilitace lůžka</v>
          </cell>
        </row>
        <row r="26">
          <cell r="A26" t="str">
            <v>Rehabilitace ambulance - lékař</v>
          </cell>
        </row>
        <row r="27">
          <cell r="A27" t="str">
            <v>Rehabilitace ambulance - sestry</v>
          </cell>
        </row>
        <row r="28">
          <cell r="A28" t="str">
            <v>LSPP ambulance dospělá</v>
          </cell>
        </row>
        <row r="29">
          <cell r="A29" t="str">
            <v>LSPP ambulance dětská</v>
          </cell>
        </row>
        <row r="30">
          <cell r="A30" t="str">
            <v>Závodní lékař ambulance</v>
          </cell>
        </row>
        <row r="31">
          <cell r="A31" t="str">
            <v>ARO JIP lůžka</v>
          </cell>
        </row>
        <row r="32">
          <cell r="A32" t="str">
            <v>ARO ambulance</v>
          </cell>
        </row>
        <row r="33">
          <cell r="A33" t="str">
            <v>ARO ambulance - nutriční</v>
          </cell>
        </row>
        <row r="34">
          <cell r="A34" t="str">
            <v>Chirurgie lůžka - A</v>
          </cell>
        </row>
        <row r="35">
          <cell r="A35" t="str">
            <v>Chirurgie lůžka - B</v>
          </cell>
        </row>
        <row r="36">
          <cell r="A36" t="str">
            <v>Chirurgie JIP</v>
          </cell>
        </row>
        <row r="37">
          <cell r="A37" t="str">
            <v>Chirurgie ambulance</v>
          </cell>
        </row>
        <row r="38">
          <cell r="A38" t="str">
            <v>Ortopedie lůžka</v>
          </cell>
        </row>
        <row r="39">
          <cell r="A39" t="str">
            <v>Ortopedie ambulance</v>
          </cell>
        </row>
        <row r="40">
          <cell r="A40" t="str">
            <v>Urologie ambulance</v>
          </cell>
        </row>
        <row r="41">
          <cell r="A41" t="str">
            <v>Oční lůžka</v>
          </cell>
        </row>
        <row r="42">
          <cell r="A42" t="str">
            <v>Oční ambulance</v>
          </cell>
        </row>
        <row r="43">
          <cell r="A43" t="str">
            <v>Oční ambulance - diabetologická</v>
          </cell>
        </row>
        <row r="44">
          <cell r="A44" t="str">
            <v>Oční ambulance - glaukomová</v>
          </cell>
        </row>
        <row r="45">
          <cell r="A45" t="str">
            <v>Oční ambulance - OCT</v>
          </cell>
        </row>
        <row r="46">
          <cell r="A46" t="str">
            <v>Por.-gynekologické lůžka</v>
          </cell>
        </row>
        <row r="47">
          <cell r="A47" t="str">
            <v>Por.-gynekologické ambulance</v>
          </cell>
        </row>
        <row r="48">
          <cell r="A48" t="str">
            <v>Klinická biochemie laboratoř</v>
          </cell>
        </row>
        <row r="49">
          <cell r="A49" t="str">
            <v>MAMO přístrojové pracoviště</v>
          </cell>
        </row>
        <row r="50">
          <cell r="A50" t="str">
            <v>RDG přístrojové pracoviště</v>
          </cell>
        </row>
        <row r="51">
          <cell r="A51" t="str">
            <v>Mikrobiologie laboratoř</v>
          </cell>
        </row>
        <row r="52">
          <cell r="A52" t="str">
            <v>Patologie laboratoř</v>
          </cell>
        </row>
        <row r="53">
          <cell r="A53" t="str">
            <v>Klinická hematologie ambulance</v>
          </cell>
        </row>
        <row r="54">
          <cell r="A54" t="str">
            <v>Klinická hematologie laboratoř</v>
          </cell>
        </row>
        <row r="55">
          <cell r="A55" t="str">
            <v>Transfúzní ambulance</v>
          </cell>
        </row>
        <row r="56">
          <cell r="A56" t="str">
            <v>Centrální operační sály</v>
          </cell>
        </row>
        <row r="57">
          <cell r="A57" t="str">
            <v>Centrální operační sály sanitáři</v>
          </cell>
        </row>
        <row r="58">
          <cell r="A58" t="str">
            <v>Centrální sterilizace</v>
          </cell>
        </row>
        <row r="59">
          <cell r="A59" t="str">
            <v>Lékárna nemocnice</v>
          </cell>
        </row>
        <row r="60">
          <cell r="A60" t="str">
            <v>Lékárna veřejnost</v>
          </cell>
        </row>
        <row r="61">
          <cell r="A61" t="str">
            <v>Krizová připravenost</v>
          </cell>
        </row>
        <row r="62">
          <cell r="A62" t="str">
            <v>Ř Ředitelství</v>
          </cell>
        </row>
        <row r="63">
          <cell r="A63" t="str">
            <v>Ř Náměstek pro ošetřovatelskou péči</v>
          </cell>
        </row>
        <row r="64">
          <cell r="A64" t="str">
            <v>EK Ekonomika, finanční účtárna</v>
          </cell>
        </row>
        <row r="65">
          <cell r="A65" t="str">
            <v>EK Zúčtování účetních případů</v>
          </cell>
        </row>
        <row r="66">
          <cell r="A66" t="str">
            <v>NAK Sklad SZM</v>
          </cell>
        </row>
        <row r="67">
          <cell r="A67" t="str">
            <v>NAK Sklad MTZ</v>
          </cell>
        </row>
        <row r="68">
          <cell r="A68" t="str">
            <v>ZP Oddělení financování zdravotní péče</v>
          </cell>
        </row>
        <row r="69">
          <cell r="A69" t="str">
            <v>ICT Informatici</v>
          </cell>
        </row>
        <row r="70">
          <cell r="A70" t="str">
            <v>PAM Personální - osobní</v>
          </cell>
        </row>
        <row r="71">
          <cell r="A71" t="str">
            <v>PAM Personální - mzdová účtárna</v>
          </cell>
        </row>
        <row r="72">
          <cell r="A72" t="str">
            <v>THP Projekty ROP1</v>
          </cell>
        </row>
        <row r="73">
          <cell r="A73" t="str">
            <v>Zdravotní technika a metrologie</v>
          </cell>
        </row>
        <row r="74">
          <cell r="A74" t="str">
            <v>Zdravotní dopravní služba</v>
          </cell>
        </row>
        <row r="75">
          <cell r="A75" t="str">
            <v>Energetika</v>
          </cell>
        </row>
        <row r="76">
          <cell r="A76" t="str">
            <v>Odpadové hospodářství</v>
          </cell>
        </row>
        <row r="77">
          <cell r="A77" t="str">
            <v>Technicko- investiční činnosti</v>
          </cell>
        </row>
        <row r="78">
          <cell r="A78" t="str">
            <v>Podatelna a spisovna</v>
          </cell>
        </row>
        <row r="79">
          <cell r="A79" t="str">
            <v>Úklid</v>
          </cell>
        </row>
        <row r="80">
          <cell r="A80" t="str">
            <v>TČ Provoz stravování - pacienti, zaměstnanci</v>
          </cell>
        </row>
        <row r="81">
          <cell r="A81" t="str">
            <v>Cafeterie</v>
          </cell>
        </row>
        <row r="82">
          <cell r="A82" t="str">
            <v>TČ Zdravotní dopravní služba</v>
          </cell>
        </row>
        <row r="83">
          <cell r="A83" t="str">
            <v>TČ Zdravotní technika a metrologie</v>
          </cell>
        </row>
        <row r="84">
          <cell r="A84" t="str">
            <v>Hospodářská správa</v>
          </cell>
        </row>
        <row r="85">
          <cell r="A85" t="str">
            <v>Vrátnice, parkoviště</v>
          </cell>
        </row>
        <row r="86">
          <cell r="A86" t="str">
            <v>Ubytovna+byty</v>
          </cell>
        </row>
        <row r="87">
          <cell r="A87" t="str">
            <v>Údržba</v>
          </cell>
        </row>
        <row r="88">
          <cell r="A88" t="str">
            <v>Údržba areál</v>
          </cell>
        </row>
        <row r="89">
          <cell r="A89" t="str">
            <v>Údržba vzduchotechnika, elektro</v>
          </cell>
        </row>
        <row r="90">
          <cell r="A90" t="str">
            <v>Doprava - provoz</v>
          </cell>
        </row>
        <row r="91">
          <cell r="A91" t="str">
            <v>Zdravotně dopravní služba SYN, LIN, OUN</v>
          </cell>
        </row>
        <row r="92">
          <cell r="A92" t="str">
            <v>EK Koeficient DPH</v>
          </cell>
        </row>
      </sheetData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rma"/>
      <sheetName val="Čas"/>
      <sheetName val="Cena"/>
      <sheetName val="Prozák"/>
      <sheetName val="sumář"/>
      <sheetName val="Skutečné rajony"/>
      <sheetName val="Databáze"/>
      <sheetName val="Datenbasis FE"/>
      <sheetName val="Makro1"/>
    </sheetNames>
    <sheetDataSet>
      <sheetData sheetId="0"/>
      <sheetData sheetId="1" refreshError="1">
        <row r="17">
          <cell r="AJ17">
            <v>0</v>
          </cell>
        </row>
        <row r="18">
          <cell r="AJ18">
            <v>0</v>
          </cell>
        </row>
        <row r="19">
          <cell r="AJ19">
            <v>0</v>
          </cell>
        </row>
        <row r="20">
          <cell r="AJ20">
            <v>0</v>
          </cell>
        </row>
        <row r="21">
          <cell r="AJ21">
            <v>0</v>
          </cell>
          <cell r="AK21">
            <v>1</v>
          </cell>
        </row>
        <row r="22">
          <cell r="AJ22">
            <v>0</v>
          </cell>
          <cell r="AK22">
            <v>2</v>
          </cell>
        </row>
        <row r="23">
          <cell r="AJ23">
            <v>0</v>
          </cell>
          <cell r="AK23">
            <v>1</v>
          </cell>
        </row>
        <row r="24">
          <cell r="AJ24">
            <v>0</v>
          </cell>
          <cell r="AK24">
            <v>1</v>
          </cell>
        </row>
        <row r="25">
          <cell r="AJ25">
            <v>0</v>
          </cell>
          <cell r="AK25">
            <v>1</v>
          </cell>
        </row>
        <row r="26">
          <cell r="AJ26">
            <v>13</v>
          </cell>
          <cell r="AK26">
            <v>1</v>
          </cell>
        </row>
        <row r="27">
          <cell r="AJ27">
            <v>14</v>
          </cell>
          <cell r="AK27">
            <v>1</v>
          </cell>
        </row>
        <row r="28">
          <cell r="AJ28" t="str">
            <v>15a</v>
          </cell>
          <cell r="AK28">
            <v>1</v>
          </cell>
        </row>
        <row r="29">
          <cell r="AJ29">
            <v>15</v>
          </cell>
          <cell r="AK29">
            <v>1</v>
          </cell>
        </row>
        <row r="30">
          <cell r="AJ30">
            <v>0</v>
          </cell>
          <cell r="AK30">
            <v>1</v>
          </cell>
        </row>
        <row r="31">
          <cell r="AJ31">
            <v>0</v>
          </cell>
          <cell r="AK31">
            <v>1</v>
          </cell>
        </row>
        <row r="32">
          <cell r="AJ32">
            <v>0</v>
          </cell>
          <cell r="AK32">
            <v>1</v>
          </cell>
        </row>
        <row r="33">
          <cell r="AJ33">
            <v>0</v>
          </cell>
          <cell r="AK33">
            <v>1</v>
          </cell>
        </row>
        <row r="34">
          <cell r="AJ34">
            <v>23</v>
          </cell>
          <cell r="AK34">
            <v>1</v>
          </cell>
        </row>
        <row r="35">
          <cell r="AJ35">
            <v>0</v>
          </cell>
          <cell r="AK35">
            <v>1</v>
          </cell>
        </row>
        <row r="36">
          <cell r="AJ36">
            <v>0</v>
          </cell>
          <cell r="AK36">
            <v>1</v>
          </cell>
        </row>
        <row r="37">
          <cell r="AJ37">
            <v>0</v>
          </cell>
          <cell r="AK37">
            <v>1</v>
          </cell>
        </row>
        <row r="38">
          <cell r="AJ38">
            <v>0</v>
          </cell>
          <cell r="AK38">
            <v>1</v>
          </cell>
        </row>
        <row r="39">
          <cell r="AJ39">
            <v>0</v>
          </cell>
          <cell r="AK39">
            <v>2</v>
          </cell>
        </row>
        <row r="40">
          <cell r="AJ40">
            <v>0</v>
          </cell>
          <cell r="AK40">
            <v>2</v>
          </cell>
        </row>
        <row r="41">
          <cell r="AJ41">
            <v>0</v>
          </cell>
          <cell r="AK41">
            <v>2</v>
          </cell>
        </row>
        <row r="42">
          <cell r="AJ42">
            <v>0</v>
          </cell>
          <cell r="AK42">
            <v>2</v>
          </cell>
        </row>
        <row r="43">
          <cell r="AJ43">
            <v>0</v>
          </cell>
          <cell r="AK43">
            <v>2</v>
          </cell>
        </row>
        <row r="44">
          <cell r="AJ44">
            <v>0</v>
          </cell>
          <cell r="AK44">
            <v>2</v>
          </cell>
        </row>
        <row r="45">
          <cell r="AJ45">
            <v>0</v>
          </cell>
          <cell r="AK45">
            <v>2</v>
          </cell>
        </row>
        <row r="46">
          <cell r="AJ46">
            <v>0</v>
          </cell>
          <cell r="AK46">
            <v>2</v>
          </cell>
        </row>
        <row r="47">
          <cell r="AJ47">
            <v>0</v>
          </cell>
          <cell r="AK47">
            <v>1</v>
          </cell>
        </row>
        <row r="48">
          <cell r="AJ48">
            <v>0</v>
          </cell>
          <cell r="AK48">
            <v>1</v>
          </cell>
        </row>
        <row r="49">
          <cell r="AJ49">
            <v>0</v>
          </cell>
          <cell r="AK49">
            <v>1</v>
          </cell>
        </row>
        <row r="50">
          <cell r="AJ50">
            <v>0</v>
          </cell>
          <cell r="AK50">
            <v>2</v>
          </cell>
        </row>
        <row r="51">
          <cell r="AJ51">
            <v>0</v>
          </cell>
          <cell r="AK51">
            <v>2</v>
          </cell>
        </row>
        <row r="52">
          <cell r="AJ52">
            <v>0</v>
          </cell>
          <cell r="AK52">
            <v>2</v>
          </cell>
        </row>
        <row r="53">
          <cell r="AJ53">
            <v>0</v>
          </cell>
          <cell r="AK53">
            <v>2</v>
          </cell>
        </row>
        <row r="54">
          <cell r="AJ54">
            <v>0</v>
          </cell>
          <cell r="AK54">
            <v>2</v>
          </cell>
        </row>
        <row r="55">
          <cell r="AJ55">
            <v>0</v>
          </cell>
          <cell r="AK55">
            <v>2</v>
          </cell>
        </row>
        <row r="56">
          <cell r="AJ56">
            <v>0</v>
          </cell>
          <cell r="AK56">
            <v>2</v>
          </cell>
        </row>
        <row r="57">
          <cell r="AJ57">
            <v>0</v>
          </cell>
          <cell r="AK57">
            <v>2</v>
          </cell>
        </row>
        <row r="58">
          <cell r="AJ58">
            <v>0</v>
          </cell>
          <cell r="AK58">
            <v>2</v>
          </cell>
        </row>
        <row r="59">
          <cell r="AJ59">
            <v>0</v>
          </cell>
          <cell r="AK59">
            <v>2</v>
          </cell>
        </row>
        <row r="60">
          <cell r="AJ60">
            <v>0</v>
          </cell>
          <cell r="AK60">
            <v>2</v>
          </cell>
        </row>
        <row r="61">
          <cell r="AJ61">
            <v>0</v>
          </cell>
          <cell r="AK61">
            <v>2</v>
          </cell>
        </row>
        <row r="62">
          <cell r="AJ62">
            <v>0</v>
          </cell>
          <cell r="AK62">
            <v>2</v>
          </cell>
        </row>
        <row r="63">
          <cell r="AJ63">
            <v>0</v>
          </cell>
          <cell r="AK63">
            <v>2</v>
          </cell>
        </row>
        <row r="64">
          <cell r="AJ64">
            <v>0</v>
          </cell>
          <cell r="AK64">
            <v>2</v>
          </cell>
        </row>
        <row r="65">
          <cell r="AJ65">
            <v>0</v>
          </cell>
          <cell r="AK65">
            <v>2</v>
          </cell>
        </row>
        <row r="66">
          <cell r="AJ66">
            <v>0</v>
          </cell>
          <cell r="AK66">
            <v>2</v>
          </cell>
        </row>
        <row r="67">
          <cell r="AJ67">
            <v>0</v>
          </cell>
          <cell r="AK67">
            <v>2</v>
          </cell>
        </row>
        <row r="68">
          <cell r="AJ68">
            <v>0</v>
          </cell>
        </row>
        <row r="69">
          <cell r="AJ69">
            <v>0</v>
          </cell>
        </row>
        <row r="70">
          <cell r="AJ70">
            <v>0</v>
          </cell>
          <cell r="AK70">
            <v>3</v>
          </cell>
        </row>
        <row r="71">
          <cell r="AJ71">
            <v>0</v>
          </cell>
          <cell r="AK71">
            <v>4</v>
          </cell>
        </row>
        <row r="72">
          <cell r="AJ72">
            <v>0</v>
          </cell>
          <cell r="AK72">
            <v>5</v>
          </cell>
        </row>
        <row r="73">
          <cell r="AJ73">
            <v>0</v>
          </cell>
          <cell r="AK73">
            <v>6</v>
          </cell>
        </row>
        <row r="74">
          <cell r="AJ74">
            <v>102</v>
          </cell>
          <cell r="AK74">
            <v>3</v>
          </cell>
        </row>
        <row r="75">
          <cell r="AJ75">
            <v>107</v>
          </cell>
          <cell r="AK75">
            <v>3</v>
          </cell>
        </row>
        <row r="76">
          <cell r="AJ76" t="str">
            <v>107a</v>
          </cell>
          <cell r="AK76">
            <v>3</v>
          </cell>
        </row>
        <row r="77">
          <cell r="AJ77">
            <v>0</v>
          </cell>
          <cell r="AK77">
            <v>3</v>
          </cell>
        </row>
        <row r="78">
          <cell r="AJ78" t="str">
            <v>110;110a</v>
          </cell>
          <cell r="AK78">
            <v>3</v>
          </cell>
        </row>
        <row r="79">
          <cell r="AJ79">
            <v>0</v>
          </cell>
          <cell r="AK79">
            <v>3</v>
          </cell>
        </row>
        <row r="80">
          <cell r="AJ80">
            <v>0</v>
          </cell>
          <cell r="AK80">
            <v>4</v>
          </cell>
        </row>
        <row r="81">
          <cell r="AJ81">
            <v>114</v>
          </cell>
          <cell r="AK81">
            <v>4</v>
          </cell>
        </row>
        <row r="82">
          <cell r="AJ82" t="str">
            <v>114a</v>
          </cell>
          <cell r="AK82">
            <v>4</v>
          </cell>
        </row>
        <row r="83">
          <cell r="AJ83">
            <v>115</v>
          </cell>
          <cell r="AK83">
            <v>4</v>
          </cell>
        </row>
        <row r="84">
          <cell r="AJ84" t="str">
            <v>115a</v>
          </cell>
          <cell r="AK84">
            <v>4</v>
          </cell>
        </row>
        <row r="85">
          <cell r="AJ85" t="str">
            <v>116;a</v>
          </cell>
          <cell r="AK85">
            <v>4</v>
          </cell>
        </row>
        <row r="86">
          <cell r="AJ86" t="str">
            <v>116b</v>
          </cell>
          <cell r="AK86">
            <v>4</v>
          </cell>
        </row>
        <row r="87">
          <cell r="AJ87">
            <v>0</v>
          </cell>
          <cell r="AK87">
            <v>4</v>
          </cell>
        </row>
        <row r="88">
          <cell r="AJ88">
            <v>0</v>
          </cell>
          <cell r="AK88">
            <v>4</v>
          </cell>
        </row>
        <row r="89">
          <cell r="AJ89">
            <v>122</v>
          </cell>
          <cell r="AK89">
            <v>5</v>
          </cell>
        </row>
        <row r="90">
          <cell r="AJ90">
            <v>0</v>
          </cell>
          <cell r="AK90">
            <v>5</v>
          </cell>
        </row>
        <row r="91">
          <cell r="AJ91">
            <v>123</v>
          </cell>
          <cell r="AK91">
            <v>5</v>
          </cell>
        </row>
        <row r="92">
          <cell r="AJ92" t="str">
            <v>123a</v>
          </cell>
          <cell r="AK92">
            <v>5</v>
          </cell>
        </row>
        <row r="93">
          <cell r="AJ93" t="str">
            <v>123b</v>
          </cell>
          <cell r="AK93">
            <v>5</v>
          </cell>
        </row>
        <row r="94">
          <cell r="AJ94">
            <v>0</v>
          </cell>
          <cell r="AK94">
            <v>5</v>
          </cell>
        </row>
        <row r="95">
          <cell r="AJ95">
            <v>124</v>
          </cell>
          <cell r="AK95">
            <v>5</v>
          </cell>
        </row>
        <row r="96">
          <cell r="AJ96" t="str">
            <v>124a</v>
          </cell>
          <cell r="AK96">
            <v>5</v>
          </cell>
        </row>
        <row r="97">
          <cell r="AJ97">
            <v>125</v>
          </cell>
          <cell r="AK97">
            <v>5</v>
          </cell>
        </row>
        <row r="98">
          <cell r="AJ98">
            <v>126</v>
          </cell>
          <cell r="AK98">
            <v>5</v>
          </cell>
        </row>
        <row r="99">
          <cell r="AJ99" t="str">
            <v>126a</v>
          </cell>
          <cell r="AK99">
            <v>5</v>
          </cell>
        </row>
        <row r="100">
          <cell r="AJ100">
            <v>127</v>
          </cell>
          <cell r="AK100">
            <v>5</v>
          </cell>
        </row>
        <row r="101">
          <cell r="AJ101" t="str">
            <v>127a</v>
          </cell>
          <cell r="AK101">
            <v>5</v>
          </cell>
        </row>
        <row r="102">
          <cell r="AJ102">
            <v>0</v>
          </cell>
          <cell r="AK102">
            <v>5</v>
          </cell>
        </row>
        <row r="103">
          <cell r="AJ103">
            <v>129</v>
          </cell>
          <cell r="AK103">
            <v>6</v>
          </cell>
        </row>
        <row r="104">
          <cell r="AJ104" t="str">
            <v>129a</v>
          </cell>
          <cell r="AK104">
            <v>6</v>
          </cell>
        </row>
        <row r="105">
          <cell r="AJ105">
            <v>130</v>
          </cell>
          <cell r="AK105">
            <v>6</v>
          </cell>
        </row>
        <row r="106">
          <cell r="AJ106" t="str">
            <v>130a</v>
          </cell>
          <cell r="AK106">
            <v>6</v>
          </cell>
        </row>
        <row r="107">
          <cell r="AJ107">
            <v>131</v>
          </cell>
          <cell r="AK107">
            <v>6</v>
          </cell>
        </row>
        <row r="108">
          <cell r="AJ108">
            <v>132</v>
          </cell>
          <cell r="AK108">
            <v>6</v>
          </cell>
        </row>
        <row r="109">
          <cell r="AJ109">
            <v>133</v>
          </cell>
          <cell r="AK109">
            <v>6</v>
          </cell>
        </row>
        <row r="110">
          <cell r="AJ110">
            <v>133</v>
          </cell>
          <cell r="AK110">
            <v>6</v>
          </cell>
        </row>
        <row r="111">
          <cell r="AJ111">
            <v>133</v>
          </cell>
          <cell r="AK111">
            <v>6</v>
          </cell>
        </row>
        <row r="112">
          <cell r="AJ112">
            <v>133</v>
          </cell>
          <cell r="AK112">
            <v>6</v>
          </cell>
        </row>
        <row r="113">
          <cell r="AJ113">
            <v>133</v>
          </cell>
          <cell r="AK113">
            <v>6</v>
          </cell>
        </row>
        <row r="114">
          <cell r="AJ114">
            <v>133</v>
          </cell>
          <cell r="AK114">
            <v>6</v>
          </cell>
        </row>
        <row r="115">
          <cell r="AJ115">
            <v>133</v>
          </cell>
          <cell r="AK115">
            <v>6</v>
          </cell>
        </row>
        <row r="116">
          <cell r="AJ116">
            <v>133</v>
          </cell>
          <cell r="AK116">
            <v>6</v>
          </cell>
        </row>
        <row r="117">
          <cell r="AJ117">
            <v>0</v>
          </cell>
          <cell r="AK117">
            <v>6</v>
          </cell>
        </row>
        <row r="118">
          <cell r="AJ118">
            <v>0</v>
          </cell>
          <cell r="AK118">
            <v>4</v>
          </cell>
        </row>
        <row r="119">
          <cell r="AJ119">
            <v>0</v>
          </cell>
          <cell r="AK119">
            <v>4</v>
          </cell>
        </row>
        <row r="120">
          <cell r="AJ120">
            <v>138</v>
          </cell>
          <cell r="AK120">
            <v>4</v>
          </cell>
        </row>
        <row r="121">
          <cell r="AJ121" t="str">
            <v>138a</v>
          </cell>
          <cell r="AK121">
            <v>4</v>
          </cell>
        </row>
        <row r="122">
          <cell r="AJ122">
            <v>0</v>
          </cell>
          <cell r="AK122">
            <v>4</v>
          </cell>
        </row>
        <row r="123">
          <cell r="AJ123">
            <v>0</v>
          </cell>
          <cell r="AK123">
            <v>4</v>
          </cell>
        </row>
        <row r="124">
          <cell r="AJ124">
            <v>139</v>
          </cell>
          <cell r="AK124">
            <v>4</v>
          </cell>
        </row>
        <row r="125">
          <cell r="AJ125" t="str">
            <v>139a</v>
          </cell>
          <cell r="AK125">
            <v>4</v>
          </cell>
        </row>
        <row r="126">
          <cell r="AJ126">
            <v>140</v>
          </cell>
          <cell r="AK126">
            <v>4</v>
          </cell>
        </row>
        <row r="127">
          <cell r="AJ127">
            <v>141</v>
          </cell>
          <cell r="AK127">
            <v>4</v>
          </cell>
        </row>
        <row r="128">
          <cell r="AJ128">
            <v>0</v>
          </cell>
          <cell r="AK128">
            <v>4</v>
          </cell>
        </row>
        <row r="129">
          <cell r="AJ129">
            <v>0</v>
          </cell>
          <cell r="AK129">
            <v>4</v>
          </cell>
        </row>
        <row r="130">
          <cell r="AJ130">
            <v>0</v>
          </cell>
          <cell r="AK130">
            <v>4</v>
          </cell>
        </row>
        <row r="131">
          <cell r="AJ131">
            <v>142</v>
          </cell>
          <cell r="AK131">
            <v>4</v>
          </cell>
        </row>
        <row r="132">
          <cell r="AJ132" t="str">
            <v>142a</v>
          </cell>
          <cell r="AK132">
            <v>4</v>
          </cell>
        </row>
        <row r="133">
          <cell r="AJ133">
            <v>0</v>
          </cell>
          <cell r="AK133">
            <v>4</v>
          </cell>
        </row>
        <row r="134">
          <cell r="AJ134">
            <v>0</v>
          </cell>
          <cell r="AK134">
            <v>3</v>
          </cell>
        </row>
        <row r="135">
          <cell r="AJ135">
            <v>0</v>
          </cell>
        </row>
        <row r="136">
          <cell r="AJ136">
            <v>0</v>
          </cell>
        </row>
        <row r="137">
          <cell r="AJ137">
            <v>0</v>
          </cell>
          <cell r="AK137">
            <v>7</v>
          </cell>
        </row>
        <row r="138">
          <cell r="AJ138">
            <v>0</v>
          </cell>
          <cell r="AK138">
            <v>8</v>
          </cell>
        </row>
        <row r="139">
          <cell r="AJ139" t="str">
            <v>201;2</v>
          </cell>
          <cell r="AK139">
            <v>7</v>
          </cell>
        </row>
        <row r="140">
          <cell r="AJ140">
            <v>203</v>
          </cell>
          <cell r="AK140">
            <v>7</v>
          </cell>
        </row>
        <row r="141">
          <cell r="AJ141">
            <v>0</v>
          </cell>
          <cell r="AK141">
            <v>7</v>
          </cell>
        </row>
        <row r="142">
          <cell r="AJ142">
            <v>206</v>
          </cell>
          <cell r="AK142">
            <v>7</v>
          </cell>
        </row>
        <row r="143">
          <cell r="AJ143">
            <v>207</v>
          </cell>
          <cell r="AK143">
            <v>7</v>
          </cell>
        </row>
        <row r="144">
          <cell r="AJ144">
            <v>208</v>
          </cell>
          <cell r="AK144">
            <v>7</v>
          </cell>
        </row>
        <row r="145">
          <cell r="AJ145">
            <v>209</v>
          </cell>
          <cell r="AK145">
            <v>7</v>
          </cell>
        </row>
        <row r="146">
          <cell r="AJ146">
            <v>210</v>
          </cell>
          <cell r="AK146">
            <v>7</v>
          </cell>
        </row>
        <row r="147">
          <cell r="AJ147">
            <v>0</v>
          </cell>
          <cell r="AK147">
            <v>7</v>
          </cell>
        </row>
        <row r="148">
          <cell r="AJ148">
            <v>211</v>
          </cell>
          <cell r="AK148">
            <v>7</v>
          </cell>
        </row>
        <row r="149">
          <cell r="AJ149">
            <v>212</v>
          </cell>
          <cell r="AK149">
            <v>7</v>
          </cell>
        </row>
        <row r="150">
          <cell r="AJ150">
            <v>213</v>
          </cell>
          <cell r="AK150">
            <v>7</v>
          </cell>
        </row>
        <row r="151">
          <cell r="AJ151">
            <v>214</v>
          </cell>
          <cell r="AK151">
            <v>7</v>
          </cell>
        </row>
        <row r="152">
          <cell r="AJ152" t="str">
            <v>215a</v>
          </cell>
          <cell r="AK152">
            <v>7</v>
          </cell>
        </row>
        <row r="153">
          <cell r="AJ153">
            <v>215</v>
          </cell>
          <cell r="AK153">
            <v>7</v>
          </cell>
        </row>
        <row r="154">
          <cell r="AJ154">
            <v>0</v>
          </cell>
          <cell r="AK154">
            <v>7</v>
          </cell>
        </row>
        <row r="155">
          <cell r="AJ155">
            <v>0</v>
          </cell>
          <cell r="AK155">
            <v>7</v>
          </cell>
        </row>
        <row r="156">
          <cell r="AJ156">
            <v>0</v>
          </cell>
          <cell r="AK156">
            <v>7</v>
          </cell>
        </row>
        <row r="157">
          <cell r="AJ157">
            <v>0</v>
          </cell>
          <cell r="AK157">
            <v>7</v>
          </cell>
        </row>
        <row r="158">
          <cell r="AJ158">
            <v>0</v>
          </cell>
        </row>
        <row r="159">
          <cell r="AJ159">
            <v>0</v>
          </cell>
        </row>
        <row r="160">
          <cell r="AJ160">
            <v>228</v>
          </cell>
          <cell r="AK160">
            <v>8</v>
          </cell>
        </row>
        <row r="161">
          <cell r="AJ161">
            <v>229</v>
          </cell>
          <cell r="AK161">
            <v>8</v>
          </cell>
        </row>
        <row r="162">
          <cell r="AJ162">
            <v>0</v>
          </cell>
          <cell r="AK162">
            <v>8</v>
          </cell>
        </row>
        <row r="163">
          <cell r="AJ163">
            <v>230</v>
          </cell>
          <cell r="AK163">
            <v>8</v>
          </cell>
        </row>
        <row r="164">
          <cell r="AJ164">
            <v>231</v>
          </cell>
          <cell r="AK164">
            <v>8</v>
          </cell>
        </row>
        <row r="165">
          <cell r="AJ165">
            <v>232</v>
          </cell>
          <cell r="AK165">
            <v>8</v>
          </cell>
        </row>
        <row r="166">
          <cell r="AJ166">
            <v>0</v>
          </cell>
          <cell r="AK166">
            <v>8</v>
          </cell>
        </row>
        <row r="167">
          <cell r="AJ167">
            <v>233</v>
          </cell>
          <cell r="AK167">
            <v>8</v>
          </cell>
        </row>
        <row r="168">
          <cell r="AJ168">
            <v>235</v>
          </cell>
          <cell r="AK168">
            <v>8</v>
          </cell>
        </row>
        <row r="169">
          <cell r="AJ169">
            <v>236</v>
          </cell>
          <cell r="AK169">
            <v>8</v>
          </cell>
        </row>
        <row r="170">
          <cell r="AJ170">
            <v>237</v>
          </cell>
          <cell r="AK170">
            <v>8</v>
          </cell>
        </row>
        <row r="171">
          <cell r="AJ171">
            <v>238</v>
          </cell>
          <cell r="AK171">
            <v>8</v>
          </cell>
        </row>
        <row r="172">
          <cell r="AJ172" t="str">
            <v>240b</v>
          </cell>
          <cell r="AK172">
            <v>8</v>
          </cell>
        </row>
        <row r="173">
          <cell r="AJ173" t="str">
            <v>240a</v>
          </cell>
          <cell r="AK173">
            <v>8</v>
          </cell>
        </row>
        <row r="174">
          <cell r="AJ174">
            <v>240</v>
          </cell>
          <cell r="AK174">
            <v>8</v>
          </cell>
        </row>
        <row r="175">
          <cell r="AJ175" t="str">
            <v>241a</v>
          </cell>
          <cell r="AK175">
            <v>8</v>
          </cell>
        </row>
        <row r="176">
          <cell r="AJ176">
            <v>241</v>
          </cell>
          <cell r="AK176">
            <v>8</v>
          </cell>
        </row>
        <row r="177">
          <cell r="AJ177" t="str">
            <v>242a</v>
          </cell>
          <cell r="AK177">
            <v>8</v>
          </cell>
        </row>
        <row r="178">
          <cell r="AJ178">
            <v>243</v>
          </cell>
          <cell r="AK178">
            <v>8</v>
          </cell>
        </row>
        <row r="179">
          <cell r="AJ179" t="str">
            <v>243a</v>
          </cell>
          <cell r="AK179">
            <v>8</v>
          </cell>
        </row>
        <row r="180">
          <cell r="AJ180">
            <v>0</v>
          </cell>
          <cell r="AK180">
            <v>8</v>
          </cell>
        </row>
        <row r="181">
          <cell r="AJ181">
            <v>245</v>
          </cell>
          <cell r="AK181">
            <v>8</v>
          </cell>
        </row>
        <row r="182">
          <cell r="AJ182">
            <v>245</v>
          </cell>
          <cell r="AK182">
            <v>8</v>
          </cell>
        </row>
        <row r="183">
          <cell r="AJ183">
            <v>0</v>
          </cell>
          <cell r="AK183">
            <v>8</v>
          </cell>
        </row>
        <row r="184">
          <cell r="AJ184">
            <v>0</v>
          </cell>
          <cell r="AK184">
            <v>8</v>
          </cell>
        </row>
        <row r="185">
          <cell r="AJ185">
            <v>0</v>
          </cell>
          <cell r="AK185">
            <v>8</v>
          </cell>
        </row>
        <row r="186">
          <cell r="AJ186">
            <v>0</v>
          </cell>
          <cell r="AK186">
            <v>8</v>
          </cell>
        </row>
        <row r="187">
          <cell r="AJ187">
            <v>0</v>
          </cell>
          <cell r="AK187">
            <v>8</v>
          </cell>
        </row>
        <row r="188">
          <cell r="AJ188">
            <v>0</v>
          </cell>
          <cell r="AK188">
            <v>8</v>
          </cell>
        </row>
        <row r="189">
          <cell r="AJ189">
            <v>0</v>
          </cell>
          <cell r="AK189">
            <v>8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rma"/>
      <sheetName val="Čas"/>
      <sheetName val="Cena"/>
      <sheetName val="Prozák"/>
      <sheetName val="sumář"/>
      <sheetName val="revír skut."/>
      <sheetName val="rajon"/>
      <sheetName val="Databáze"/>
      <sheetName val="Datenbasis FE"/>
      <sheetName val="Makro1"/>
    </sheetNames>
    <sheetDataSet>
      <sheetData sheetId="0"/>
      <sheetData sheetId="1" refreshError="1">
        <row r="17">
          <cell r="AI17">
            <v>1</v>
          </cell>
          <cell r="AK17">
            <v>1</v>
          </cell>
          <cell r="AL17" t="str">
            <v>8.NP - lůžková část B</v>
          </cell>
        </row>
        <row r="18">
          <cell r="AJ18">
            <v>865</v>
          </cell>
          <cell r="AK18">
            <v>1</v>
          </cell>
          <cell r="AL18" t="str">
            <v>chodba</v>
          </cell>
        </row>
        <row r="19">
          <cell r="AJ19">
            <v>864</v>
          </cell>
          <cell r="AK19">
            <v>1</v>
          </cell>
          <cell r="AL19" t="str">
            <v>lékař</v>
          </cell>
        </row>
        <row r="20">
          <cell r="AJ20">
            <v>865</v>
          </cell>
          <cell r="AK20">
            <v>1</v>
          </cell>
          <cell r="AL20" t="str">
            <v>WC</v>
          </cell>
        </row>
        <row r="21">
          <cell r="AJ21">
            <v>863</v>
          </cell>
          <cell r="AK21">
            <v>1</v>
          </cell>
          <cell r="AL21" t="str">
            <v>aplikace transf.</v>
          </cell>
        </row>
        <row r="22">
          <cell r="AJ22">
            <v>862</v>
          </cell>
          <cell r="AK22">
            <v>1</v>
          </cell>
          <cell r="AL22" t="str">
            <v>příjem pac.</v>
          </cell>
        </row>
        <row r="23">
          <cell r="AJ23">
            <v>863</v>
          </cell>
          <cell r="AK23">
            <v>1</v>
          </cell>
          <cell r="AL23" t="str">
            <v>WC</v>
          </cell>
        </row>
        <row r="24">
          <cell r="AJ24">
            <v>861</v>
          </cell>
          <cell r="AK24">
            <v>1</v>
          </cell>
          <cell r="AL24" t="str">
            <v>inhalace</v>
          </cell>
        </row>
        <row r="25">
          <cell r="AJ25">
            <v>860</v>
          </cell>
          <cell r="AK25">
            <v>1</v>
          </cell>
          <cell r="AL25" t="str">
            <v>pojízdná lůžka</v>
          </cell>
        </row>
        <row r="26">
          <cell r="AJ26">
            <v>861</v>
          </cell>
          <cell r="AK26">
            <v>1</v>
          </cell>
          <cell r="AL26" t="str">
            <v>WC</v>
          </cell>
        </row>
        <row r="27">
          <cell r="AJ27">
            <v>859</v>
          </cell>
          <cell r="AK27">
            <v>1</v>
          </cell>
          <cell r="AL27" t="str">
            <v>pokoj pac.</v>
          </cell>
        </row>
        <row r="28">
          <cell r="AJ28">
            <v>858</v>
          </cell>
          <cell r="AK28">
            <v>1</v>
          </cell>
          <cell r="AL28" t="str">
            <v>pokoj pac.</v>
          </cell>
        </row>
        <row r="29">
          <cell r="AJ29" t="str">
            <v>859 A,B</v>
          </cell>
          <cell r="AK29">
            <v>1</v>
          </cell>
          <cell r="AL29" t="str">
            <v>WC</v>
          </cell>
        </row>
        <row r="30">
          <cell r="AJ30">
            <v>839.82799999999997</v>
          </cell>
          <cell r="AK30">
            <v>1</v>
          </cell>
          <cell r="AL30" t="str">
            <v>spoj.chodba</v>
          </cell>
        </row>
        <row r="31">
          <cell r="AK31">
            <v>1</v>
          </cell>
        </row>
        <row r="32">
          <cell r="AJ32">
            <v>841</v>
          </cell>
          <cell r="AK32">
            <v>1</v>
          </cell>
          <cell r="AL32" t="str">
            <v>lázeň</v>
          </cell>
        </row>
        <row r="33">
          <cell r="AJ33" t="str">
            <v>842 A,B</v>
          </cell>
          <cell r="AK33">
            <v>1</v>
          </cell>
          <cell r="AL33" t="str">
            <v>WC</v>
          </cell>
        </row>
        <row r="34">
          <cell r="AJ34" t="str">
            <v>843 A,B</v>
          </cell>
          <cell r="AK34">
            <v>1</v>
          </cell>
          <cell r="AL34" t="str">
            <v>WC-personál</v>
          </cell>
        </row>
        <row r="35">
          <cell r="AJ35">
            <v>844.81899999999996</v>
          </cell>
          <cell r="AK35">
            <v>1</v>
          </cell>
          <cell r="AL35" t="str">
            <v>spoj.chodba</v>
          </cell>
        </row>
        <row r="36">
          <cell r="AJ36">
            <v>838</v>
          </cell>
          <cell r="AK36">
            <v>1</v>
          </cell>
          <cell r="AL36" t="str">
            <v>hlavní chodba</v>
          </cell>
        </row>
        <row r="37">
          <cell r="AJ37">
            <v>851</v>
          </cell>
          <cell r="AK37">
            <v>1</v>
          </cell>
          <cell r="AL37" t="str">
            <v>jídelna</v>
          </cell>
        </row>
        <row r="38">
          <cell r="AJ38">
            <v>852</v>
          </cell>
          <cell r="AK38">
            <v>1</v>
          </cell>
          <cell r="AL38" t="str">
            <v>pokoj pac.</v>
          </cell>
        </row>
        <row r="39">
          <cell r="AJ39">
            <v>0</v>
          </cell>
          <cell r="AK39">
            <v>1</v>
          </cell>
          <cell r="AL39" t="str">
            <v>WC</v>
          </cell>
        </row>
        <row r="40">
          <cell r="AJ40">
            <v>853</v>
          </cell>
          <cell r="AK40">
            <v>4</v>
          </cell>
          <cell r="AL40" t="str">
            <v>pokoj pac.</v>
          </cell>
        </row>
        <row r="41">
          <cell r="AJ41">
            <v>0</v>
          </cell>
          <cell r="AK41">
            <v>4</v>
          </cell>
          <cell r="AL41" t="str">
            <v>WC</v>
          </cell>
        </row>
        <row r="42">
          <cell r="AJ42">
            <v>854</v>
          </cell>
          <cell r="AK42">
            <v>4</v>
          </cell>
          <cell r="AL42" t="str">
            <v>pokoj pac.</v>
          </cell>
        </row>
        <row r="43">
          <cell r="AJ43">
            <v>0</v>
          </cell>
          <cell r="AK43">
            <v>4</v>
          </cell>
          <cell r="AL43" t="str">
            <v>WC</v>
          </cell>
        </row>
        <row r="44">
          <cell r="AJ44">
            <v>855</v>
          </cell>
          <cell r="AK44">
            <v>6</v>
          </cell>
          <cell r="AL44" t="str">
            <v>aplikační místnost</v>
          </cell>
        </row>
        <row r="45">
          <cell r="AJ45">
            <v>0</v>
          </cell>
          <cell r="AK45">
            <v>1</v>
          </cell>
          <cell r="AL45" t="str">
            <v>WC</v>
          </cell>
        </row>
        <row r="46">
          <cell r="AJ46">
            <v>856</v>
          </cell>
          <cell r="AK46">
            <v>1</v>
          </cell>
          <cell r="AL46" t="str">
            <v>lékař</v>
          </cell>
        </row>
        <row r="47">
          <cell r="AJ47">
            <v>857</v>
          </cell>
          <cell r="AK47">
            <v>1</v>
          </cell>
          <cell r="AL47" t="str">
            <v>sestra</v>
          </cell>
        </row>
        <row r="48">
          <cell r="AJ48">
            <v>835</v>
          </cell>
          <cell r="AK48">
            <v>1</v>
          </cell>
          <cell r="AL48" t="str">
            <v>šatna pac.</v>
          </cell>
        </row>
        <row r="49">
          <cell r="AJ49">
            <v>834</v>
          </cell>
          <cell r="AK49">
            <v>1</v>
          </cell>
          <cell r="AL49" t="str">
            <v>úklid.komora</v>
          </cell>
        </row>
        <row r="50">
          <cell r="AJ50">
            <v>833</v>
          </cell>
          <cell r="AK50">
            <v>1</v>
          </cell>
          <cell r="AL50" t="str">
            <v>archiv</v>
          </cell>
        </row>
        <row r="51">
          <cell r="AJ51">
            <v>832</v>
          </cell>
          <cell r="AK51">
            <v>2</v>
          </cell>
          <cell r="AL51" t="str">
            <v>box pro zemřelé</v>
          </cell>
        </row>
        <row r="52">
          <cell r="AJ52">
            <v>829</v>
          </cell>
          <cell r="AK52">
            <v>2</v>
          </cell>
          <cell r="AL52" t="str">
            <v>sklad</v>
          </cell>
        </row>
        <row r="53">
          <cell r="AJ53">
            <v>831</v>
          </cell>
          <cell r="AK53">
            <v>2</v>
          </cell>
          <cell r="AL53" t="str">
            <v>sklad</v>
          </cell>
        </row>
        <row r="54">
          <cell r="AJ54">
            <v>830</v>
          </cell>
          <cell r="AK54">
            <v>2</v>
          </cell>
          <cell r="AL54" t="str">
            <v>sklad</v>
          </cell>
        </row>
        <row r="55">
          <cell r="AJ55" t="str">
            <v>849, 850</v>
          </cell>
          <cell r="AK55">
            <v>2</v>
          </cell>
          <cell r="AL55" t="str">
            <v>čist.místnost</v>
          </cell>
        </row>
        <row r="56">
          <cell r="AJ56">
            <v>845</v>
          </cell>
          <cell r="AK56">
            <v>2</v>
          </cell>
          <cell r="AL56" t="str">
            <v>sklad</v>
          </cell>
        </row>
        <row r="57">
          <cell r="AJ57">
            <v>848.82100000000003</v>
          </cell>
          <cell r="AK57">
            <v>2</v>
          </cell>
          <cell r="AL57" t="str">
            <v>čaj.kuchyňka</v>
          </cell>
        </row>
        <row r="58">
          <cell r="AK58">
            <v>2</v>
          </cell>
          <cell r="AL58" t="str">
            <v>mycí služby</v>
          </cell>
        </row>
        <row r="59">
          <cell r="AJ59">
            <v>846</v>
          </cell>
          <cell r="AK59">
            <v>2</v>
          </cell>
          <cell r="AL59" t="str">
            <v>sklad čisté pr.</v>
          </cell>
        </row>
        <row r="60">
          <cell r="AJ60">
            <v>847</v>
          </cell>
          <cell r="AK60">
            <v>2</v>
          </cell>
          <cell r="AL60" t="str">
            <v>vnitřní schodiště</v>
          </cell>
        </row>
        <row r="61">
          <cell r="AJ61">
            <v>822</v>
          </cell>
          <cell r="AK61">
            <v>2</v>
          </cell>
          <cell r="AL61" t="str">
            <v>sklad čisté pr.</v>
          </cell>
        </row>
        <row r="62">
          <cell r="AJ62">
            <v>823</v>
          </cell>
          <cell r="AK62">
            <v>2</v>
          </cell>
          <cell r="AL62" t="str">
            <v>sklad</v>
          </cell>
        </row>
        <row r="63">
          <cell r="AJ63">
            <v>818.82</v>
          </cell>
          <cell r="AK63">
            <v>2</v>
          </cell>
          <cell r="AL63" t="str">
            <v>čist.místnost</v>
          </cell>
        </row>
        <row r="67">
          <cell r="AJ67">
            <v>0</v>
          </cell>
          <cell r="AK67">
            <v>2</v>
          </cell>
          <cell r="AL67" t="str">
            <v>hlavní chodba</v>
          </cell>
        </row>
        <row r="68">
          <cell r="AJ68">
            <v>803</v>
          </cell>
          <cell r="AK68">
            <v>2</v>
          </cell>
          <cell r="AL68" t="str">
            <v>pokoj pac.</v>
          </cell>
        </row>
        <row r="69">
          <cell r="AJ69">
            <v>804</v>
          </cell>
          <cell r="AK69">
            <v>2</v>
          </cell>
          <cell r="AL69" t="str">
            <v>pokoj pac.</v>
          </cell>
        </row>
        <row r="70">
          <cell r="AJ70">
            <v>803</v>
          </cell>
          <cell r="AK70">
            <v>2</v>
          </cell>
          <cell r="AL70" t="str">
            <v>WC</v>
          </cell>
        </row>
        <row r="71">
          <cell r="AJ71">
            <v>805</v>
          </cell>
          <cell r="AK71">
            <v>2</v>
          </cell>
          <cell r="AL71" t="str">
            <v>pokoj pac.</v>
          </cell>
        </row>
        <row r="72">
          <cell r="AJ72">
            <v>806</v>
          </cell>
          <cell r="AK72">
            <v>2</v>
          </cell>
          <cell r="AL72" t="str">
            <v>pokoj pac.</v>
          </cell>
        </row>
        <row r="73">
          <cell r="AJ73">
            <v>805</v>
          </cell>
          <cell r="AK73">
            <v>3</v>
          </cell>
          <cell r="AL73" t="str">
            <v>WC</v>
          </cell>
        </row>
        <row r="74">
          <cell r="AJ74">
            <v>807</v>
          </cell>
          <cell r="AK74">
            <v>3</v>
          </cell>
          <cell r="AL74" t="str">
            <v>pokoj pac.</v>
          </cell>
        </row>
        <row r="75">
          <cell r="AJ75">
            <v>808</v>
          </cell>
          <cell r="AK75">
            <v>3</v>
          </cell>
          <cell r="AL75" t="str">
            <v>pokoj pac.</v>
          </cell>
        </row>
        <row r="76">
          <cell r="AJ76">
            <v>807</v>
          </cell>
          <cell r="AK76">
            <v>3</v>
          </cell>
          <cell r="AL76" t="str">
            <v>WC</v>
          </cell>
        </row>
        <row r="77">
          <cell r="AJ77">
            <v>809</v>
          </cell>
          <cell r="AK77">
            <v>3</v>
          </cell>
          <cell r="AL77" t="str">
            <v>pokoj pac.</v>
          </cell>
        </row>
        <row r="78">
          <cell r="AJ78">
            <v>810</v>
          </cell>
          <cell r="AK78">
            <v>3</v>
          </cell>
          <cell r="AL78" t="str">
            <v>pokoj pac.</v>
          </cell>
        </row>
        <row r="79">
          <cell r="AJ79">
            <v>809</v>
          </cell>
          <cell r="AK79">
            <v>3</v>
          </cell>
          <cell r="AL79" t="str">
            <v>WC</v>
          </cell>
        </row>
        <row r="80">
          <cell r="AJ80">
            <v>811</v>
          </cell>
          <cell r="AK80">
            <v>3</v>
          </cell>
          <cell r="AL80" t="str">
            <v>sestra</v>
          </cell>
        </row>
        <row r="81">
          <cell r="AJ81">
            <v>812</v>
          </cell>
          <cell r="AK81">
            <v>3</v>
          </cell>
          <cell r="AL81" t="str">
            <v>lékař</v>
          </cell>
        </row>
        <row r="82">
          <cell r="AJ82">
            <v>813</v>
          </cell>
          <cell r="AK82">
            <v>3</v>
          </cell>
          <cell r="AL82" t="str">
            <v>pokoj pac.</v>
          </cell>
        </row>
        <row r="83">
          <cell r="AJ83">
            <v>0</v>
          </cell>
          <cell r="AK83">
            <v>3</v>
          </cell>
          <cell r="AL83" t="str">
            <v>WC</v>
          </cell>
        </row>
        <row r="84">
          <cell r="AJ84">
            <v>814</v>
          </cell>
          <cell r="AK84">
            <v>3</v>
          </cell>
          <cell r="AL84" t="str">
            <v>pokoj pac.</v>
          </cell>
        </row>
        <row r="85">
          <cell r="AJ85">
            <v>0</v>
          </cell>
          <cell r="AK85">
            <v>3</v>
          </cell>
          <cell r="AL85" t="str">
            <v>WC</v>
          </cell>
        </row>
        <row r="86">
          <cell r="AJ86">
            <v>815</v>
          </cell>
          <cell r="AK86">
            <v>3</v>
          </cell>
          <cell r="AL86" t="str">
            <v>pokoj pac.</v>
          </cell>
        </row>
        <row r="87">
          <cell r="AJ87">
            <v>0</v>
          </cell>
          <cell r="AK87">
            <v>3</v>
          </cell>
          <cell r="AL87" t="str">
            <v>WC</v>
          </cell>
        </row>
        <row r="88">
          <cell r="AJ88">
            <v>816</v>
          </cell>
          <cell r="AK88">
            <v>3</v>
          </cell>
          <cell r="AL88" t="str">
            <v>pokoj pac.</v>
          </cell>
        </row>
        <row r="89">
          <cell r="AJ89">
            <v>0</v>
          </cell>
          <cell r="AK89">
            <v>3</v>
          </cell>
          <cell r="AL89" t="str">
            <v>WC</v>
          </cell>
        </row>
        <row r="90">
          <cell r="AJ90">
            <v>824</v>
          </cell>
          <cell r="AK90">
            <v>3</v>
          </cell>
          <cell r="AL90" t="str">
            <v>WC-pers.</v>
          </cell>
        </row>
        <row r="91">
          <cell r="AJ91">
            <v>825</v>
          </cell>
          <cell r="AK91">
            <v>3</v>
          </cell>
          <cell r="AL91" t="str">
            <v>WC</v>
          </cell>
        </row>
        <row r="92">
          <cell r="AJ92">
            <v>826</v>
          </cell>
          <cell r="AK92">
            <v>3</v>
          </cell>
          <cell r="AL92" t="str">
            <v>lázeň</v>
          </cell>
        </row>
        <row r="93">
          <cell r="AK93">
            <v>3</v>
          </cell>
        </row>
        <row r="94">
          <cell r="AK94">
            <v>2</v>
          </cell>
          <cell r="AL94" t="str">
            <v>mycí služby</v>
          </cell>
        </row>
        <row r="95">
          <cell r="AL95">
            <v>0</v>
          </cell>
        </row>
        <row r="96">
          <cell r="AI96">
            <v>3</v>
          </cell>
          <cell r="AL96" t="str">
            <v>Ambulantní část</v>
          </cell>
        </row>
        <row r="97">
          <cell r="AL97">
            <v>0</v>
          </cell>
        </row>
        <row r="98">
          <cell r="AJ98">
            <v>871</v>
          </cell>
          <cell r="AK98">
            <v>2</v>
          </cell>
          <cell r="AL98" t="str">
            <v>chodba</v>
          </cell>
        </row>
        <row r="99">
          <cell r="AJ99">
            <v>872</v>
          </cell>
          <cell r="AK99">
            <v>2</v>
          </cell>
          <cell r="AL99" t="str">
            <v>archiv</v>
          </cell>
        </row>
        <row r="100">
          <cell r="AJ100">
            <v>873</v>
          </cell>
          <cell r="AK100">
            <v>2</v>
          </cell>
          <cell r="AL100" t="str">
            <v>vrchní sestra</v>
          </cell>
        </row>
        <row r="101">
          <cell r="AJ101">
            <v>874</v>
          </cell>
          <cell r="AK101">
            <v>2</v>
          </cell>
          <cell r="AL101" t="str">
            <v>kuchyňka</v>
          </cell>
        </row>
        <row r="102">
          <cell r="AJ102">
            <v>875</v>
          </cell>
          <cell r="AK102">
            <v>3</v>
          </cell>
          <cell r="AL102" t="str">
            <v>zást.primáře</v>
          </cell>
        </row>
        <row r="103">
          <cell r="AJ103">
            <v>876</v>
          </cell>
          <cell r="AK103">
            <v>3</v>
          </cell>
          <cell r="AL103" t="str">
            <v>prac.prim.</v>
          </cell>
        </row>
        <row r="104">
          <cell r="AJ104">
            <v>0</v>
          </cell>
          <cell r="AK104">
            <v>3</v>
          </cell>
          <cell r="AL104" t="str">
            <v>WC</v>
          </cell>
        </row>
        <row r="105">
          <cell r="AJ105">
            <v>877</v>
          </cell>
          <cell r="AK105">
            <v>1</v>
          </cell>
          <cell r="AL105" t="str">
            <v>knihovna</v>
          </cell>
        </row>
        <row r="106">
          <cell r="AJ106">
            <v>878</v>
          </cell>
          <cell r="AK106">
            <v>1</v>
          </cell>
          <cell r="AL106" t="str">
            <v>funkční diagn.</v>
          </cell>
        </row>
        <row r="107">
          <cell r="AJ107">
            <v>879</v>
          </cell>
          <cell r="AK107">
            <v>1</v>
          </cell>
          <cell r="AL107" t="str">
            <v>bronchospopie</v>
          </cell>
        </row>
        <row r="108">
          <cell r="AJ108">
            <v>882</v>
          </cell>
          <cell r="AK108">
            <v>1</v>
          </cell>
          <cell r="AL108" t="str">
            <v>svlékací boxy</v>
          </cell>
        </row>
        <row r="109">
          <cell r="AJ109">
            <v>884</v>
          </cell>
          <cell r="AK109">
            <v>1</v>
          </cell>
          <cell r="AL109" t="str">
            <v>RTG</v>
          </cell>
        </row>
        <row r="110">
          <cell r="AJ110">
            <v>885</v>
          </cell>
          <cell r="AK110">
            <v>1</v>
          </cell>
          <cell r="AL110" t="str">
            <v>ovladač RTG</v>
          </cell>
        </row>
        <row r="111">
          <cell r="AJ111">
            <v>883</v>
          </cell>
          <cell r="AK111">
            <v>1</v>
          </cell>
          <cell r="AL111" t="str">
            <v>předsíň fot.</v>
          </cell>
        </row>
        <row r="112">
          <cell r="AJ112">
            <v>0</v>
          </cell>
          <cell r="AK112">
            <v>1</v>
          </cell>
          <cell r="AL112" t="str">
            <v>fotokomora</v>
          </cell>
        </row>
        <row r="113">
          <cell r="AJ113">
            <v>880</v>
          </cell>
          <cell r="AK113">
            <v>1</v>
          </cell>
          <cell r="AL113" t="str">
            <v>WC</v>
          </cell>
        </row>
        <row r="114">
          <cell r="AJ114">
            <v>881</v>
          </cell>
          <cell r="AK114">
            <v>2</v>
          </cell>
          <cell r="AL114" t="str">
            <v>úklid.místnost</v>
          </cell>
        </row>
        <row r="118">
          <cell r="AJ118" t="str">
            <v xml:space="preserve"> </v>
          </cell>
          <cell r="AK118">
            <v>2</v>
          </cell>
          <cell r="AL118" t="str">
            <v>chodba+čekárna</v>
          </cell>
        </row>
        <row r="119">
          <cell r="AJ119">
            <v>868.87</v>
          </cell>
          <cell r="AK119">
            <v>3</v>
          </cell>
          <cell r="AL119" t="str">
            <v>elektrorozv.</v>
          </cell>
        </row>
        <row r="120">
          <cell r="AJ120">
            <v>837</v>
          </cell>
          <cell r="AK120">
            <v>1</v>
          </cell>
          <cell r="AL120" t="str">
            <v>hl.schody</v>
          </cell>
        </row>
        <row r="121">
          <cell r="AJ121">
            <v>869</v>
          </cell>
          <cell r="AK121">
            <v>1</v>
          </cell>
          <cell r="AL121" t="str">
            <v>rezerva</v>
          </cell>
        </row>
        <row r="122">
          <cell r="AJ122">
            <v>0</v>
          </cell>
          <cell r="AK122">
            <v>2</v>
          </cell>
          <cell r="AL122" t="str">
            <v>4 výtahy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rma"/>
      <sheetName val="Čas"/>
      <sheetName val="Cena"/>
      <sheetName val="Prozák"/>
      <sheetName val="Databáze"/>
      <sheetName val="Datenbasis TU"/>
      <sheetName val="Okna"/>
      <sheetName val="FE-Typ"/>
      <sheetName val="SZ"/>
      <sheetName val="Daten"/>
      <sheetName val="Datenbasis FE"/>
      <sheetName val="Makro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A6" t="str">
            <v>ck</v>
          </cell>
          <cell r="B6" t="str">
            <v>Čajová kuchyňka - běžná</v>
          </cell>
          <cell r="C6">
            <v>120</v>
          </cell>
          <cell r="D6">
            <v>0.5</v>
          </cell>
          <cell r="E6">
            <v>500</v>
          </cell>
        </row>
        <row r="7">
          <cell r="A7" t="str">
            <v>ck++</v>
          </cell>
          <cell r="B7" t="str">
            <v>Čajová kuchyňka - vysoká</v>
          </cell>
          <cell r="C7">
            <v>100</v>
          </cell>
          <cell r="D7">
            <v>0.6</v>
          </cell>
          <cell r="E7">
            <v>240</v>
          </cell>
        </row>
        <row r="8">
          <cell r="A8" t="str">
            <v>d</v>
          </cell>
          <cell r="B8" t="str">
            <v>Dílny nebo pod. prostory - běžná</v>
          </cell>
          <cell r="C8">
            <v>250</v>
          </cell>
          <cell r="D8">
            <v>0.24</v>
          </cell>
          <cell r="E8">
            <v>220</v>
          </cell>
        </row>
        <row r="9">
          <cell r="A9" t="str">
            <v>d+</v>
          </cell>
          <cell r="B9" t="str">
            <v>Dílny nebo pod. prostory - střední</v>
          </cell>
          <cell r="C9">
            <v>200</v>
          </cell>
          <cell r="D9">
            <v>0.3</v>
          </cell>
          <cell r="E9">
            <v>205</v>
          </cell>
        </row>
        <row r="10">
          <cell r="A10" t="str">
            <v>d++</v>
          </cell>
          <cell r="B10" t="str">
            <v>Dílny nebo pod. prostory - vysoká</v>
          </cell>
          <cell r="C10">
            <v>160</v>
          </cell>
          <cell r="D10">
            <v>0.375</v>
          </cell>
        </row>
        <row r="11">
          <cell r="A11" t="str">
            <v>chs</v>
          </cell>
          <cell r="B11" t="str">
            <v>Chodby - strojní mytí hladkých povrchů (chodby)</v>
          </cell>
          <cell r="C11">
            <v>750</v>
          </cell>
          <cell r="D11">
            <v>0.08</v>
          </cell>
          <cell r="E11">
            <v>750</v>
          </cell>
        </row>
        <row r="12">
          <cell r="A12" t="str">
            <v>chr</v>
          </cell>
          <cell r="B12" t="str">
            <v>Chodby,průchody/dopravní plochy - ručně</v>
          </cell>
          <cell r="C12">
            <v>250</v>
          </cell>
          <cell r="D12">
            <v>0.24</v>
          </cell>
          <cell r="E12">
            <v>260</v>
          </cell>
        </row>
        <row r="13">
          <cell r="A13" t="str">
            <v>j</v>
          </cell>
          <cell r="B13" t="str">
            <v>Jídelna - běžná</v>
          </cell>
          <cell r="C13">
            <v>130</v>
          </cell>
          <cell r="D13">
            <v>0.46153846153846156</v>
          </cell>
          <cell r="E13">
            <v>240</v>
          </cell>
        </row>
        <row r="14">
          <cell r="A14" t="str">
            <v>j+</v>
          </cell>
          <cell r="B14" t="str">
            <v>Jídelna - střední</v>
          </cell>
          <cell r="C14">
            <v>120</v>
          </cell>
          <cell r="D14">
            <v>0.5</v>
          </cell>
          <cell r="E14">
            <v>30</v>
          </cell>
        </row>
        <row r="15">
          <cell r="A15" t="str">
            <v>j++</v>
          </cell>
          <cell r="B15" t="str">
            <v>Jídelna - vysoká</v>
          </cell>
          <cell r="C15">
            <v>110</v>
          </cell>
          <cell r="D15">
            <v>0.54545454545454541</v>
          </cell>
          <cell r="E15">
            <v>23</v>
          </cell>
        </row>
        <row r="16">
          <cell r="A16" t="str">
            <v>k</v>
          </cell>
          <cell r="B16" t="str">
            <v>Kanceláře - běžná</v>
          </cell>
          <cell r="C16">
            <v>170</v>
          </cell>
          <cell r="D16">
            <v>0.3529411764705882</v>
          </cell>
          <cell r="E16">
            <v>400</v>
          </cell>
        </row>
        <row r="17">
          <cell r="A17" t="str">
            <v>k+</v>
          </cell>
          <cell r="B17" t="str">
            <v>Kanceláře - střední</v>
          </cell>
          <cell r="C17">
            <v>160</v>
          </cell>
          <cell r="D17">
            <v>0.375</v>
          </cell>
          <cell r="E17">
            <v>330</v>
          </cell>
        </row>
        <row r="18">
          <cell r="A18" t="str">
            <v>k++</v>
          </cell>
          <cell r="B18" t="str">
            <v>Kanceláře - vysoká</v>
          </cell>
          <cell r="C18">
            <v>150</v>
          </cell>
          <cell r="D18">
            <v>0.4</v>
          </cell>
          <cell r="E18">
            <v>260</v>
          </cell>
        </row>
        <row r="19">
          <cell r="A19" t="str">
            <v>ki</v>
          </cell>
          <cell r="B19" t="str">
            <v>Kinosál - běžná</v>
          </cell>
          <cell r="C19">
            <v>160</v>
          </cell>
          <cell r="D19">
            <v>0.375</v>
          </cell>
          <cell r="E19">
            <v>667</v>
          </cell>
        </row>
        <row r="20">
          <cell r="A20" t="str">
            <v>ki+</v>
          </cell>
          <cell r="B20" t="str">
            <v>Kinosál(např.kuřácký/s obsluhou/se schody,apod.) - vysoká</v>
          </cell>
          <cell r="C20">
            <v>110</v>
          </cell>
          <cell r="D20">
            <v>0.54545454545454541</v>
          </cell>
          <cell r="E20">
            <v>400</v>
          </cell>
        </row>
        <row r="21">
          <cell r="A21" t="str">
            <v>ki++</v>
          </cell>
          <cell r="B21" t="str">
            <v>Kinosál(ztížený úklid/nesklápěcísedačky,apod. - střední</v>
          </cell>
          <cell r="C21">
            <v>140</v>
          </cell>
          <cell r="D21">
            <v>0.42857142857142855</v>
          </cell>
          <cell r="E21">
            <v>330</v>
          </cell>
        </row>
        <row r="22">
          <cell r="A22" t="str">
            <v>lab</v>
          </cell>
          <cell r="B22" t="str">
            <v>Laboratoře - běžná</v>
          </cell>
          <cell r="C22">
            <v>160</v>
          </cell>
          <cell r="D22">
            <v>0.375</v>
          </cell>
          <cell r="E22">
            <v>240</v>
          </cell>
        </row>
        <row r="23">
          <cell r="A23" t="str">
            <v>lab+</v>
          </cell>
          <cell r="B23" t="str">
            <v>Laboratoře (vysoká časová náročnost/labor.nábytek)-vysoká</v>
          </cell>
          <cell r="C23">
            <v>140</v>
          </cell>
          <cell r="D23">
            <v>0.42857142857142855</v>
          </cell>
          <cell r="E23">
            <v>250</v>
          </cell>
        </row>
        <row r="24">
          <cell r="A24" t="str">
            <v>odp</v>
          </cell>
          <cell r="B24" t="str">
            <v>Odpad. Místnost</v>
          </cell>
          <cell r="C24">
            <v>230</v>
          </cell>
          <cell r="D24">
            <v>0.2608695652173913</v>
          </cell>
          <cell r="E24">
            <v>230</v>
          </cell>
        </row>
        <row r="25">
          <cell r="A25" t="str">
            <v>pod</v>
          </cell>
          <cell r="B25" t="str">
            <v>Podesty(bez výtahů/schodišťové)</v>
          </cell>
          <cell r="C25">
            <v>250</v>
          </cell>
          <cell r="D25">
            <v>0.24</v>
          </cell>
          <cell r="E25">
            <v>1200</v>
          </cell>
        </row>
        <row r="26">
          <cell r="A26" t="str">
            <v>př</v>
          </cell>
          <cell r="B26" t="str">
            <v>Předsíň(u kanceláře), komora</v>
          </cell>
          <cell r="C26">
            <v>200</v>
          </cell>
          <cell r="D26">
            <v>0.3</v>
          </cell>
          <cell r="E26">
            <v>23</v>
          </cell>
        </row>
        <row r="27">
          <cell r="A27" t="str">
            <v>rec+</v>
          </cell>
          <cell r="B27" t="str">
            <v>Příjem,recepce(se vstupní částí) - vysoká</v>
          </cell>
          <cell r="C27">
            <v>200</v>
          </cell>
          <cell r="D27">
            <v>0.3</v>
          </cell>
          <cell r="E27">
            <v>400</v>
          </cell>
        </row>
        <row r="28">
          <cell r="A28" t="str">
            <v xml:space="preserve">rec </v>
          </cell>
          <cell r="B28" t="str">
            <v>Příjem,recepce/Foyer - běžná</v>
          </cell>
          <cell r="C28">
            <v>280</v>
          </cell>
          <cell r="D28">
            <v>0.21428571428571427</v>
          </cell>
          <cell r="E28">
            <v>1000</v>
          </cell>
        </row>
        <row r="29">
          <cell r="A29" t="str">
            <v>rec++</v>
          </cell>
          <cell r="B29" t="str">
            <v>Příjem,recepce/Foyer - střední</v>
          </cell>
          <cell r="C29">
            <v>250</v>
          </cell>
          <cell r="D29">
            <v>0.24</v>
          </cell>
          <cell r="E29">
            <v>500</v>
          </cell>
        </row>
        <row r="30">
          <cell r="A30" t="str">
            <v>rů</v>
          </cell>
          <cell r="B30" t="str">
            <v>Různé/Diver.prostory/Vedlejší prostory</v>
          </cell>
          <cell r="C30">
            <v>190</v>
          </cell>
          <cell r="D30">
            <v>0.31578947368421051</v>
          </cell>
          <cell r="E30">
            <v>2000</v>
          </cell>
        </row>
        <row r="31">
          <cell r="A31" t="str">
            <v>sau</v>
          </cell>
          <cell r="B31" t="str">
            <v>Sauna</v>
          </cell>
          <cell r="C31">
            <v>60</v>
          </cell>
          <cell r="D31">
            <v>1</v>
          </cell>
          <cell r="E31">
            <v>47</v>
          </cell>
        </row>
        <row r="32">
          <cell r="A32" t="str">
            <v>s</v>
          </cell>
          <cell r="B32" t="str">
            <v>Schody - běžná</v>
          </cell>
          <cell r="C32">
            <v>130</v>
          </cell>
          <cell r="D32">
            <v>0.46153846153846156</v>
          </cell>
          <cell r="E32">
            <v>40</v>
          </cell>
        </row>
        <row r="33">
          <cell r="A33" t="str">
            <v>s+</v>
          </cell>
          <cell r="B33" t="str">
            <v>Schody - střední</v>
          </cell>
          <cell r="C33">
            <v>120</v>
          </cell>
          <cell r="D33">
            <v>0.5</v>
          </cell>
          <cell r="E33">
            <v>60</v>
          </cell>
        </row>
        <row r="34">
          <cell r="A34" t="str">
            <v>s++</v>
          </cell>
          <cell r="B34" t="str">
            <v>Schody - vysoká</v>
          </cell>
          <cell r="C34">
            <v>110</v>
          </cell>
          <cell r="D34">
            <v>0.54545454545454541</v>
          </cell>
          <cell r="E34">
            <v>50</v>
          </cell>
        </row>
        <row r="35">
          <cell r="A35" t="str">
            <v>sven</v>
          </cell>
          <cell r="B35" t="str">
            <v>Sklad materiálu - nezastřešený / vnější</v>
          </cell>
          <cell r="C35">
            <v>250</v>
          </cell>
          <cell r="D35">
            <v>0.24</v>
          </cell>
          <cell r="E35">
            <v>125</v>
          </cell>
        </row>
        <row r="36">
          <cell r="A36" t="str">
            <v>sm</v>
          </cell>
          <cell r="B36" t="str">
            <v>Sklad materiálu - zastřešený / vnitřní</v>
          </cell>
          <cell r="C36">
            <v>300</v>
          </cell>
          <cell r="D36">
            <v>0.2</v>
          </cell>
          <cell r="E36">
            <v>110</v>
          </cell>
        </row>
        <row r="37">
          <cell r="A37" t="str">
            <v>soc</v>
          </cell>
          <cell r="B37" t="str">
            <v>Sociální zařízení (obecně)</v>
          </cell>
          <cell r="C37">
            <v>70</v>
          </cell>
          <cell r="D37">
            <v>0.8571428571428571</v>
          </cell>
          <cell r="E37">
            <v>240</v>
          </cell>
        </row>
        <row r="38">
          <cell r="A38" t="str">
            <v>š+</v>
          </cell>
          <cell r="B38" t="str">
            <v>Šatna - střední</v>
          </cell>
          <cell r="C38">
            <v>180</v>
          </cell>
          <cell r="D38">
            <v>0.33333333333333337</v>
          </cell>
          <cell r="E38">
            <v>215</v>
          </cell>
        </row>
        <row r="39">
          <cell r="A39" t="str">
            <v>š++</v>
          </cell>
          <cell r="B39" t="str">
            <v>Šatna(v dílnách/výrobních podnicích,apod.) - vysoká</v>
          </cell>
          <cell r="C39">
            <v>160</v>
          </cell>
          <cell r="D39">
            <v>0.375</v>
          </cell>
          <cell r="E39">
            <v>194</v>
          </cell>
        </row>
        <row r="40">
          <cell r="A40" t="str">
            <v>š</v>
          </cell>
          <cell r="B40" t="str">
            <v>Šatny - běžná</v>
          </cell>
          <cell r="C40">
            <v>200</v>
          </cell>
          <cell r="D40">
            <v>0.3</v>
          </cell>
          <cell r="E40">
            <v>750</v>
          </cell>
        </row>
        <row r="41">
          <cell r="A41" t="str">
            <v>u</v>
          </cell>
          <cell r="B41" t="str">
            <v>Umývárny(se zrcadly+umývadla/-mušle) - běžná</v>
          </cell>
          <cell r="C41">
            <v>80</v>
          </cell>
          <cell r="D41">
            <v>0.75</v>
          </cell>
          <cell r="E41">
            <v>157</v>
          </cell>
        </row>
        <row r="42">
          <cell r="A42" t="str">
            <v>u+</v>
          </cell>
          <cell r="B42" t="str">
            <v>Umývárny(sprchy) - vysoká</v>
          </cell>
          <cell r="C42">
            <v>60</v>
          </cell>
          <cell r="D42">
            <v>1</v>
          </cell>
          <cell r="E42">
            <v>125</v>
          </cell>
        </row>
        <row r="43">
          <cell r="A43" t="str">
            <v>v</v>
          </cell>
          <cell r="B43" t="str">
            <v>Umývárny,sprchy</v>
          </cell>
          <cell r="C43">
            <v>70</v>
          </cell>
          <cell r="D43">
            <v>0.8571428571428571</v>
          </cell>
          <cell r="E43">
            <v>460</v>
          </cell>
        </row>
        <row r="44">
          <cell r="A44" t="str">
            <v>vn</v>
          </cell>
          <cell r="B44" t="str">
            <v>Výtah nákladní</v>
          </cell>
          <cell r="C44">
            <v>60</v>
          </cell>
          <cell r="D44">
            <v>1</v>
          </cell>
          <cell r="E44">
            <v>400</v>
          </cell>
        </row>
        <row r="45">
          <cell r="A45" t="str">
            <v>vo</v>
          </cell>
          <cell r="B45" t="str">
            <v>Výtah osobní</v>
          </cell>
          <cell r="C45">
            <v>50</v>
          </cell>
          <cell r="D45">
            <v>1.2</v>
          </cell>
          <cell r="E45">
            <v>260</v>
          </cell>
        </row>
        <row r="46">
          <cell r="A46" t="str">
            <v>vp</v>
          </cell>
          <cell r="B46" t="str">
            <v>Výtah panoramatický</v>
          </cell>
          <cell r="C46">
            <v>30</v>
          </cell>
          <cell r="D46">
            <v>2</v>
          </cell>
          <cell r="E46">
            <v>222</v>
          </cell>
        </row>
        <row r="47">
          <cell r="A47" t="str">
            <v>w</v>
          </cell>
          <cell r="B47" t="str">
            <v>WC/sanit.prostory větší než 5qm - běžná</v>
          </cell>
          <cell r="C47">
            <v>70</v>
          </cell>
          <cell r="D47">
            <v>0.8571428571428571</v>
          </cell>
          <cell r="E47">
            <v>64</v>
          </cell>
        </row>
        <row r="48">
          <cell r="A48" t="str">
            <v>w+</v>
          </cell>
          <cell r="B48" t="str">
            <v>WC/sanit.prostory větší než 5qm - vysoká</v>
          </cell>
          <cell r="C48">
            <v>60</v>
          </cell>
          <cell r="D48">
            <v>1</v>
          </cell>
          <cell r="E48">
            <v>64</v>
          </cell>
        </row>
        <row r="49">
          <cell r="A49" t="str">
            <v>w+</v>
          </cell>
          <cell r="B49" t="str">
            <v>WC/sanit.prostorymenší než 5qm - běžná</v>
          </cell>
          <cell r="C49">
            <v>60</v>
          </cell>
          <cell r="D49">
            <v>1</v>
          </cell>
        </row>
        <row r="50">
          <cell r="A50" t="str">
            <v>w++</v>
          </cell>
          <cell r="B50" t="str">
            <v>WC/sanit.prostorymenší než 5qm - vysoká</v>
          </cell>
          <cell r="C50">
            <v>50</v>
          </cell>
          <cell r="D50">
            <v>1.2</v>
          </cell>
        </row>
        <row r="51">
          <cell r="A51" t="str">
            <v>z</v>
          </cell>
          <cell r="B51" t="str">
            <v>Zádveří - běžná</v>
          </cell>
          <cell r="C51">
            <v>170</v>
          </cell>
          <cell r="D51">
            <v>0.3529411764705882</v>
          </cell>
        </row>
        <row r="52">
          <cell r="A52" t="str">
            <v>z+</v>
          </cell>
          <cell r="B52" t="str">
            <v>Zádveří - vysoká</v>
          </cell>
          <cell r="C52">
            <v>140</v>
          </cell>
          <cell r="D52">
            <v>0.42857142857142855</v>
          </cell>
          <cell r="E52">
            <v>1.1499999999999999</v>
          </cell>
        </row>
        <row r="53">
          <cell r="A53" t="str">
            <v>za</v>
          </cell>
          <cell r="B53" t="str">
            <v>Zasedačka - běžná</v>
          </cell>
          <cell r="C53">
            <v>160</v>
          </cell>
          <cell r="D53">
            <v>0.375</v>
          </cell>
          <cell r="E53">
            <v>52</v>
          </cell>
        </row>
        <row r="54">
          <cell r="A54" t="str">
            <v>za+</v>
          </cell>
          <cell r="B54" t="str">
            <v>zasedačka - střední</v>
          </cell>
          <cell r="C54">
            <v>150</v>
          </cell>
          <cell r="D54">
            <v>0.4</v>
          </cell>
        </row>
        <row r="55">
          <cell r="A55">
            <v>7</v>
          </cell>
          <cell r="B55" t="str">
            <v>7xPo-Ne</v>
          </cell>
          <cell r="C55">
            <v>30.4</v>
          </cell>
          <cell r="D55">
            <v>1</v>
          </cell>
        </row>
        <row r="56">
          <cell r="A56">
            <v>6</v>
          </cell>
          <cell r="B56" t="str">
            <v>6xPo-So</v>
          </cell>
          <cell r="C56">
            <v>26.09</v>
          </cell>
          <cell r="D56">
            <v>1</v>
          </cell>
        </row>
        <row r="57">
          <cell r="A57">
            <v>5</v>
          </cell>
          <cell r="B57" t="str">
            <v>5xPo-Pá</v>
          </cell>
          <cell r="C57">
            <v>21.74</v>
          </cell>
          <cell r="D57">
            <v>1</v>
          </cell>
        </row>
        <row r="58">
          <cell r="A58">
            <v>3</v>
          </cell>
          <cell r="B58" t="str">
            <v>3xtýdně</v>
          </cell>
          <cell r="C58">
            <v>13</v>
          </cell>
          <cell r="D58">
            <v>0.66000000000000014</v>
          </cell>
        </row>
        <row r="59">
          <cell r="A59">
            <v>2.5</v>
          </cell>
          <cell r="B59" t="str">
            <v>2,5xtýdně</v>
          </cell>
          <cell r="C59">
            <v>2.5</v>
          </cell>
          <cell r="D59">
            <v>0.55000000000000004</v>
          </cell>
        </row>
        <row r="60">
          <cell r="A60">
            <v>2</v>
          </cell>
          <cell r="B60" t="str">
            <v>2xtýdně</v>
          </cell>
          <cell r="C60">
            <v>8.6999999999999993</v>
          </cell>
          <cell r="D60">
            <v>0.44000000000000006</v>
          </cell>
        </row>
        <row r="61">
          <cell r="A61">
            <v>1</v>
          </cell>
          <cell r="B61" t="str">
            <v>1xtýdně</v>
          </cell>
          <cell r="C61">
            <v>4.3499999999999996</v>
          </cell>
          <cell r="D61">
            <v>0.23</v>
          </cell>
        </row>
        <row r="62">
          <cell r="A62">
            <v>0.5</v>
          </cell>
          <cell r="B62" t="str">
            <v>2xměs</v>
          </cell>
          <cell r="C62">
            <v>2</v>
          </cell>
          <cell r="D62">
            <v>0.12000000000000001</v>
          </cell>
        </row>
        <row r="63">
          <cell r="A63">
            <v>0.25</v>
          </cell>
          <cell r="B63" t="str">
            <v>1xměs</v>
          </cell>
          <cell r="C63">
            <v>1</v>
          </cell>
          <cell r="D63">
            <v>6.5000000000000002E-2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rma"/>
      <sheetName val="Čas"/>
      <sheetName val="Cena"/>
      <sheetName val="Prozák"/>
      <sheetName val="Databáze"/>
      <sheetName val="Datenbasis TU"/>
      <sheetName val="Okna"/>
      <sheetName val="FE-Typ"/>
      <sheetName val="SZ"/>
      <sheetName val="Daten"/>
      <sheetName val="Datenbasis FE"/>
      <sheetName val="Makro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A6" t="str">
            <v>ck</v>
          </cell>
          <cell r="B6" t="str">
            <v>Čajová kuchyňka - běžná</v>
          </cell>
          <cell r="C6">
            <v>120</v>
          </cell>
          <cell r="D6">
            <v>0.5</v>
          </cell>
          <cell r="E6">
            <v>500</v>
          </cell>
        </row>
        <row r="7">
          <cell r="A7" t="str">
            <v>ck++</v>
          </cell>
          <cell r="B7" t="str">
            <v>Čajová kuchyňka - vysoká</v>
          </cell>
          <cell r="C7">
            <v>100</v>
          </cell>
          <cell r="D7">
            <v>0.6</v>
          </cell>
          <cell r="E7">
            <v>240</v>
          </cell>
        </row>
        <row r="8">
          <cell r="A8" t="str">
            <v>d</v>
          </cell>
          <cell r="B8" t="str">
            <v>Dílny nebo pod. prostory - běžná</v>
          </cell>
          <cell r="C8">
            <v>250</v>
          </cell>
          <cell r="D8">
            <v>0.24</v>
          </cell>
          <cell r="E8">
            <v>220</v>
          </cell>
        </row>
        <row r="9">
          <cell r="A9" t="str">
            <v>d+</v>
          </cell>
          <cell r="B9" t="str">
            <v>Dílny nebo pod. prostory - střední</v>
          </cell>
          <cell r="C9">
            <v>200</v>
          </cell>
          <cell r="D9">
            <v>0.3</v>
          </cell>
          <cell r="E9">
            <v>205</v>
          </cell>
        </row>
        <row r="10">
          <cell r="A10" t="str">
            <v>d++</v>
          </cell>
          <cell r="B10" t="str">
            <v>Dílny nebo pod. prostory - vysoká</v>
          </cell>
          <cell r="C10">
            <v>160</v>
          </cell>
          <cell r="D10">
            <v>0.375</v>
          </cell>
        </row>
        <row r="11">
          <cell r="A11" t="str">
            <v>chs</v>
          </cell>
          <cell r="B11" t="str">
            <v>Chodby - strojní mytí hladkých povrchů (chodby)</v>
          </cell>
          <cell r="C11">
            <v>750</v>
          </cell>
          <cell r="D11">
            <v>0.08</v>
          </cell>
          <cell r="E11">
            <v>750</v>
          </cell>
        </row>
        <row r="12">
          <cell r="A12" t="str">
            <v>chr</v>
          </cell>
          <cell r="B12" t="str">
            <v>Chodby,průchody/dopravní plochy - ručně</v>
          </cell>
          <cell r="C12">
            <v>250</v>
          </cell>
          <cell r="D12">
            <v>0.24</v>
          </cell>
          <cell r="E12">
            <v>260</v>
          </cell>
        </row>
        <row r="13">
          <cell r="A13" t="str">
            <v>j</v>
          </cell>
          <cell r="B13" t="str">
            <v>Jídelna - běžná</v>
          </cell>
          <cell r="C13">
            <v>130</v>
          </cell>
          <cell r="D13">
            <v>0.46153846153846156</v>
          </cell>
          <cell r="E13">
            <v>240</v>
          </cell>
        </row>
        <row r="14">
          <cell r="A14" t="str">
            <v>j+</v>
          </cell>
          <cell r="B14" t="str">
            <v>Jídelna - střední</v>
          </cell>
          <cell r="C14">
            <v>120</v>
          </cell>
          <cell r="D14">
            <v>0.5</v>
          </cell>
          <cell r="E14">
            <v>30</v>
          </cell>
        </row>
        <row r="15">
          <cell r="A15" t="str">
            <v>j++</v>
          </cell>
          <cell r="B15" t="str">
            <v>Jídelna - vysoká</v>
          </cell>
          <cell r="C15">
            <v>110</v>
          </cell>
          <cell r="D15">
            <v>0.54545454545454541</v>
          </cell>
          <cell r="E15">
            <v>23</v>
          </cell>
        </row>
        <row r="16">
          <cell r="A16" t="str">
            <v>k</v>
          </cell>
          <cell r="B16" t="str">
            <v>Kanceláře - běžná</v>
          </cell>
          <cell r="C16">
            <v>170</v>
          </cell>
          <cell r="D16">
            <v>0.3529411764705882</v>
          </cell>
          <cell r="E16">
            <v>400</v>
          </cell>
        </row>
        <row r="17">
          <cell r="A17" t="str">
            <v>k+</v>
          </cell>
          <cell r="B17" t="str">
            <v>Kanceláře - střední</v>
          </cell>
          <cell r="C17">
            <v>160</v>
          </cell>
          <cell r="D17">
            <v>0.375</v>
          </cell>
          <cell r="E17">
            <v>330</v>
          </cell>
        </row>
        <row r="18">
          <cell r="A18" t="str">
            <v>k++</v>
          </cell>
          <cell r="B18" t="str">
            <v>Kanceláře - vysoká</v>
          </cell>
          <cell r="C18">
            <v>150</v>
          </cell>
          <cell r="D18">
            <v>0.4</v>
          </cell>
          <cell r="E18">
            <v>260</v>
          </cell>
        </row>
        <row r="19">
          <cell r="A19" t="str">
            <v>ki</v>
          </cell>
          <cell r="B19" t="str">
            <v>Kinosál - běžná</v>
          </cell>
          <cell r="C19">
            <v>160</v>
          </cell>
          <cell r="D19">
            <v>0.375</v>
          </cell>
          <cell r="E19">
            <v>667</v>
          </cell>
        </row>
        <row r="20">
          <cell r="A20" t="str">
            <v>ki+</v>
          </cell>
          <cell r="B20" t="str">
            <v>Kinosál(např.kuřácký/s obsluhou/se schody,apod.) - vysoká</v>
          </cell>
          <cell r="C20">
            <v>110</v>
          </cell>
          <cell r="D20">
            <v>0.54545454545454541</v>
          </cell>
          <cell r="E20">
            <v>400</v>
          </cell>
        </row>
        <row r="21">
          <cell r="A21" t="str">
            <v>ki++</v>
          </cell>
          <cell r="B21" t="str">
            <v>Kinosál(ztížený úklid/nesklápěcísedačky,apod. - střední</v>
          </cell>
          <cell r="C21">
            <v>140</v>
          </cell>
          <cell r="D21">
            <v>0.42857142857142855</v>
          </cell>
          <cell r="E21">
            <v>330</v>
          </cell>
        </row>
        <row r="22">
          <cell r="A22" t="str">
            <v>lab</v>
          </cell>
          <cell r="B22" t="str">
            <v>Laboratoře - běžná</v>
          </cell>
          <cell r="C22">
            <v>160</v>
          </cell>
          <cell r="D22">
            <v>0.375</v>
          </cell>
          <cell r="E22">
            <v>240</v>
          </cell>
        </row>
        <row r="23">
          <cell r="A23" t="str">
            <v>lab+</v>
          </cell>
          <cell r="B23" t="str">
            <v>Laboratoře (vysoká časová náročnost/labor.nábytek)-vysoká</v>
          </cell>
          <cell r="C23">
            <v>140</v>
          </cell>
          <cell r="D23">
            <v>0.42857142857142855</v>
          </cell>
          <cell r="E23">
            <v>250</v>
          </cell>
        </row>
        <row r="24">
          <cell r="A24" t="str">
            <v>odp</v>
          </cell>
          <cell r="B24" t="str">
            <v>Odpad. Místnost</v>
          </cell>
          <cell r="C24">
            <v>230</v>
          </cell>
          <cell r="D24">
            <v>0.2608695652173913</v>
          </cell>
          <cell r="E24">
            <v>230</v>
          </cell>
        </row>
        <row r="25">
          <cell r="A25" t="str">
            <v>pod</v>
          </cell>
          <cell r="B25" t="str">
            <v>Podesty(bez výtahů/schodišťové)</v>
          </cell>
          <cell r="C25">
            <v>250</v>
          </cell>
          <cell r="D25">
            <v>0.24</v>
          </cell>
          <cell r="E25">
            <v>1200</v>
          </cell>
        </row>
        <row r="26">
          <cell r="A26" t="str">
            <v>př</v>
          </cell>
          <cell r="B26" t="str">
            <v>Předsíň(u kanceláře), komora</v>
          </cell>
          <cell r="C26">
            <v>200</v>
          </cell>
          <cell r="D26">
            <v>0.3</v>
          </cell>
          <cell r="E26">
            <v>23</v>
          </cell>
        </row>
        <row r="27">
          <cell r="A27" t="str">
            <v>rec+</v>
          </cell>
          <cell r="B27" t="str">
            <v>Příjem,recepce(se vstupní částí) - vysoká</v>
          </cell>
          <cell r="C27">
            <v>200</v>
          </cell>
          <cell r="D27">
            <v>0.3</v>
          </cell>
          <cell r="E27">
            <v>400</v>
          </cell>
        </row>
        <row r="28">
          <cell r="A28" t="str">
            <v xml:space="preserve">rec </v>
          </cell>
          <cell r="B28" t="str">
            <v>Příjem,recepce/Foyer - běžná</v>
          </cell>
          <cell r="C28">
            <v>280</v>
          </cell>
          <cell r="D28">
            <v>0.21428571428571427</v>
          </cell>
          <cell r="E28">
            <v>1000</v>
          </cell>
        </row>
        <row r="29">
          <cell r="A29" t="str">
            <v>rec++</v>
          </cell>
          <cell r="B29" t="str">
            <v>Příjem,recepce/Foyer - střední</v>
          </cell>
          <cell r="C29">
            <v>250</v>
          </cell>
          <cell r="D29">
            <v>0.24</v>
          </cell>
          <cell r="E29">
            <v>500</v>
          </cell>
        </row>
        <row r="30">
          <cell r="A30" t="str">
            <v>rů</v>
          </cell>
          <cell r="B30" t="str">
            <v>Různé/Diver.prostory/Vedlejší prostory</v>
          </cell>
          <cell r="C30">
            <v>190</v>
          </cell>
          <cell r="D30">
            <v>0.31578947368421051</v>
          </cell>
          <cell r="E30">
            <v>2000</v>
          </cell>
        </row>
        <row r="31">
          <cell r="A31" t="str">
            <v>sau</v>
          </cell>
          <cell r="B31" t="str">
            <v>Sauna</v>
          </cell>
          <cell r="C31">
            <v>60</v>
          </cell>
          <cell r="D31">
            <v>1</v>
          </cell>
          <cell r="E31">
            <v>47</v>
          </cell>
        </row>
        <row r="32">
          <cell r="A32" t="str">
            <v>s</v>
          </cell>
          <cell r="B32" t="str">
            <v>Schody - běžná</v>
          </cell>
          <cell r="C32">
            <v>130</v>
          </cell>
          <cell r="D32">
            <v>0.46153846153846156</v>
          </cell>
          <cell r="E32">
            <v>40</v>
          </cell>
        </row>
        <row r="33">
          <cell r="A33" t="str">
            <v>s+</v>
          </cell>
          <cell r="B33" t="str">
            <v>Schody - střední</v>
          </cell>
          <cell r="C33">
            <v>120</v>
          </cell>
          <cell r="D33">
            <v>0.5</v>
          </cell>
          <cell r="E33">
            <v>60</v>
          </cell>
        </row>
        <row r="34">
          <cell r="A34" t="str">
            <v>s++</v>
          </cell>
          <cell r="B34" t="str">
            <v>Schody - vysoká</v>
          </cell>
          <cell r="C34">
            <v>110</v>
          </cell>
          <cell r="D34">
            <v>0.54545454545454541</v>
          </cell>
          <cell r="E34">
            <v>50</v>
          </cell>
        </row>
        <row r="35">
          <cell r="A35" t="str">
            <v>sven</v>
          </cell>
          <cell r="B35" t="str">
            <v>Sklad materiálu - nezastřešený / vnější</v>
          </cell>
          <cell r="C35">
            <v>250</v>
          </cell>
          <cell r="D35">
            <v>0.24</v>
          </cell>
          <cell r="E35">
            <v>125</v>
          </cell>
        </row>
        <row r="36">
          <cell r="A36" t="str">
            <v>sm</v>
          </cell>
          <cell r="B36" t="str">
            <v>Sklad materiálu - zastřešený / vnitřní</v>
          </cell>
          <cell r="C36">
            <v>300</v>
          </cell>
          <cell r="D36">
            <v>0.2</v>
          </cell>
          <cell r="E36">
            <v>110</v>
          </cell>
        </row>
        <row r="37">
          <cell r="A37" t="str">
            <v>soc</v>
          </cell>
          <cell r="B37" t="str">
            <v>Sociální zařízení (obecně)</v>
          </cell>
          <cell r="C37">
            <v>70</v>
          </cell>
          <cell r="D37">
            <v>0.8571428571428571</v>
          </cell>
          <cell r="E37">
            <v>240</v>
          </cell>
        </row>
        <row r="38">
          <cell r="A38" t="str">
            <v>š+</v>
          </cell>
          <cell r="B38" t="str">
            <v>Šatna - střední</v>
          </cell>
          <cell r="C38">
            <v>180</v>
          </cell>
          <cell r="D38">
            <v>0.33333333333333337</v>
          </cell>
          <cell r="E38">
            <v>215</v>
          </cell>
        </row>
        <row r="39">
          <cell r="A39" t="str">
            <v>š++</v>
          </cell>
          <cell r="B39" t="str">
            <v>Šatna(v dílnách/výrobních podnicích,apod.) - vysoká</v>
          </cell>
          <cell r="C39">
            <v>160</v>
          </cell>
          <cell r="D39">
            <v>0.375</v>
          </cell>
          <cell r="E39">
            <v>194</v>
          </cell>
        </row>
        <row r="40">
          <cell r="A40" t="str">
            <v>š</v>
          </cell>
          <cell r="B40" t="str">
            <v>Šatny - běžná</v>
          </cell>
          <cell r="C40">
            <v>200</v>
          </cell>
          <cell r="D40">
            <v>0.3</v>
          </cell>
          <cell r="E40">
            <v>750</v>
          </cell>
        </row>
        <row r="41">
          <cell r="A41" t="str">
            <v>u</v>
          </cell>
          <cell r="B41" t="str">
            <v>Umývárny(se zrcadly+umývadla/-mušle) - běžná</v>
          </cell>
          <cell r="C41">
            <v>80</v>
          </cell>
          <cell r="D41">
            <v>0.75</v>
          </cell>
          <cell r="E41">
            <v>157</v>
          </cell>
        </row>
        <row r="42">
          <cell r="A42" t="str">
            <v>u+</v>
          </cell>
          <cell r="B42" t="str">
            <v>Umývárny(sprchy) - vysoká</v>
          </cell>
          <cell r="C42">
            <v>60</v>
          </cell>
          <cell r="D42">
            <v>1</v>
          </cell>
          <cell r="E42">
            <v>125</v>
          </cell>
        </row>
        <row r="43">
          <cell r="A43" t="str">
            <v>v</v>
          </cell>
          <cell r="B43" t="str">
            <v>Umývárny,sprchy</v>
          </cell>
          <cell r="C43">
            <v>70</v>
          </cell>
          <cell r="D43">
            <v>0.8571428571428571</v>
          </cell>
          <cell r="E43">
            <v>460</v>
          </cell>
        </row>
        <row r="44">
          <cell r="A44" t="str">
            <v>vn</v>
          </cell>
          <cell r="B44" t="str">
            <v>Výtah nákladní</v>
          </cell>
          <cell r="C44">
            <v>60</v>
          </cell>
          <cell r="D44">
            <v>1</v>
          </cell>
          <cell r="E44">
            <v>400</v>
          </cell>
        </row>
        <row r="45">
          <cell r="A45" t="str">
            <v>vo</v>
          </cell>
          <cell r="B45" t="str">
            <v>Výtah osobní</v>
          </cell>
          <cell r="C45">
            <v>50</v>
          </cell>
          <cell r="D45">
            <v>1.2</v>
          </cell>
          <cell r="E45">
            <v>260</v>
          </cell>
        </row>
        <row r="46">
          <cell r="A46" t="str">
            <v>vp</v>
          </cell>
          <cell r="B46" t="str">
            <v>Výtah panoramatický</v>
          </cell>
          <cell r="C46">
            <v>30</v>
          </cell>
          <cell r="D46">
            <v>2</v>
          </cell>
          <cell r="E46">
            <v>222</v>
          </cell>
        </row>
        <row r="47">
          <cell r="A47" t="str">
            <v>w</v>
          </cell>
          <cell r="B47" t="str">
            <v>WC/sanit.prostory větší než 5qm - běžná</v>
          </cell>
          <cell r="C47">
            <v>70</v>
          </cell>
          <cell r="D47">
            <v>0.8571428571428571</v>
          </cell>
          <cell r="E47">
            <v>64</v>
          </cell>
        </row>
        <row r="48">
          <cell r="A48" t="str">
            <v>w+</v>
          </cell>
          <cell r="B48" t="str">
            <v>WC/sanit.prostory větší než 5qm - vysoká</v>
          </cell>
          <cell r="C48">
            <v>60</v>
          </cell>
          <cell r="D48">
            <v>1</v>
          </cell>
          <cell r="E48">
            <v>64</v>
          </cell>
        </row>
        <row r="49">
          <cell r="A49" t="str">
            <v>w+</v>
          </cell>
          <cell r="B49" t="str">
            <v>WC/sanit.prostorymenší než 5qm - běžná</v>
          </cell>
          <cell r="C49">
            <v>60</v>
          </cell>
          <cell r="D49">
            <v>1</v>
          </cell>
        </row>
        <row r="50">
          <cell r="A50" t="str">
            <v>w++</v>
          </cell>
          <cell r="B50" t="str">
            <v>WC/sanit.prostorymenší než 5qm - vysoká</v>
          </cell>
          <cell r="C50">
            <v>50</v>
          </cell>
          <cell r="D50">
            <v>1.2</v>
          </cell>
        </row>
        <row r="51">
          <cell r="A51" t="str">
            <v>z</v>
          </cell>
          <cell r="B51" t="str">
            <v>Zádveří - běžná</v>
          </cell>
          <cell r="C51">
            <v>170</v>
          </cell>
          <cell r="D51">
            <v>0.3529411764705882</v>
          </cell>
        </row>
        <row r="52">
          <cell r="A52" t="str">
            <v>z+</v>
          </cell>
          <cell r="B52" t="str">
            <v>Zádveří - vysoká</v>
          </cell>
          <cell r="C52">
            <v>140</v>
          </cell>
          <cell r="D52">
            <v>0.42857142857142855</v>
          </cell>
          <cell r="E52">
            <v>1.1499999999999999</v>
          </cell>
        </row>
        <row r="53">
          <cell r="A53" t="str">
            <v>za</v>
          </cell>
          <cell r="B53" t="str">
            <v>Zasedačka - běžná</v>
          </cell>
          <cell r="C53">
            <v>160</v>
          </cell>
          <cell r="D53">
            <v>0.375</v>
          </cell>
          <cell r="E53">
            <v>52</v>
          </cell>
        </row>
        <row r="54">
          <cell r="A54" t="str">
            <v>za+</v>
          </cell>
          <cell r="B54" t="str">
            <v>zasedačka - střední</v>
          </cell>
          <cell r="C54">
            <v>150</v>
          </cell>
          <cell r="D54">
            <v>0.4</v>
          </cell>
        </row>
        <row r="55">
          <cell r="A55">
            <v>7</v>
          </cell>
          <cell r="B55" t="str">
            <v>7xPo-Ne</v>
          </cell>
          <cell r="C55">
            <v>30.4</v>
          </cell>
          <cell r="D55">
            <v>1</v>
          </cell>
        </row>
        <row r="56">
          <cell r="A56">
            <v>6</v>
          </cell>
          <cell r="B56" t="str">
            <v>6xPo-So</v>
          </cell>
          <cell r="C56">
            <v>26.09</v>
          </cell>
          <cell r="D56">
            <v>1</v>
          </cell>
        </row>
        <row r="57">
          <cell r="A57">
            <v>5</v>
          </cell>
          <cell r="B57" t="str">
            <v>5xPo-Pá</v>
          </cell>
          <cell r="C57">
            <v>21.74</v>
          </cell>
          <cell r="D57">
            <v>1</v>
          </cell>
        </row>
        <row r="58">
          <cell r="A58">
            <v>3</v>
          </cell>
          <cell r="B58" t="str">
            <v>3xtýdně</v>
          </cell>
          <cell r="C58">
            <v>13</v>
          </cell>
          <cell r="D58">
            <v>0.66000000000000014</v>
          </cell>
        </row>
        <row r="59">
          <cell r="A59">
            <v>2.5</v>
          </cell>
          <cell r="B59" t="str">
            <v>2,5xtýdně</v>
          </cell>
          <cell r="C59">
            <v>2.5</v>
          </cell>
          <cell r="D59">
            <v>0.55000000000000004</v>
          </cell>
        </row>
        <row r="60">
          <cell r="A60">
            <v>2</v>
          </cell>
          <cell r="B60" t="str">
            <v>2xtýdně</v>
          </cell>
          <cell r="C60">
            <v>8.6999999999999993</v>
          </cell>
          <cell r="D60">
            <v>0.44000000000000006</v>
          </cell>
        </row>
        <row r="61">
          <cell r="A61">
            <v>1</v>
          </cell>
          <cell r="B61" t="str">
            <v>1xtýdně</v>
          </cell>
          <cell r="C61">
            <v>4.3499999999999996</v>
          </cell>
          <cell r="D61">
            <v>0.23</v>
          </cell>
        </row>
        <row r="62">
          <cell r="A62">
            <v>0.5</v>
          </cell>
          <cell r="B62" t="str">
            <v>2xměs</v>
          </cell>
          <cell r="C62">
            <v>2</v>
          </cell>
          <cell r="D62">
            <v>0.12000000000000001</v>
          </cell>
        </row>
        <row r="63">
          <cell r="A63">
            <v>0.25</v>
          </cell>
          <cell r="B63" t="str">
            <v>1xměs</v>
          </cell>
          <cell r="C63">
            <v>1</v>
          </cell>
          <cell r="D63">
            <v>6.5000000000000002E-2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rma"/>
      <sheetName val="Čas"/>
      <sheetName val="Cena"/>
      <sheetName val="Prozák"/>
      <sheetName val="Databáze"/>
      <sheetName val="Datenbasis TU"/>
      <sheetName val="Okna"/>
      <sheetName val="FE-Typ"/>
      <sheetName val="SZ"/>
      <sheetName val="Daten"/>
      <sheetName val="Datenbasis FE"/>
      <sheetName val="Makro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A6" t="str">
            <v>ck</v>
          </cell>
          <cell r="B6" t="str">
            <v>Čajová kuchyňka - běžná</v>
          </cell>
          <cell r="C6">
            <v>120</v>
          </cell>
          <cell r="D6">
            <v>0.5</v>
          </cell>
          <cell r="E6">
            <v>500</v>
          </cell>
        </row>
        <row r="7">
          <cell r="A7" t="str">
            <v>ck++</v>
          </cell>
          <cell r="B7" t="str">
            <v>Čajová kuchyňka - vysoká</v>
          </cell>
          <cell r="C7">
            <v>100</v>
          </cell>
          <cell r="D7">
            <v>0.6</v>
          </cell>
          <cell r="E7">
            <v>240</v>
          </cell>
        </row>
        <row r="8">
          <cell r="A8" t="str">
            <v>d</v>
          </cell>
          <cell r="B8" t="str">
            <v>Dílny nebo pod. prostory - běžná</v>
          </cell>
          <cell r="C8">
            <v>250</v>
          </cell>
          <cell r="D8">
            <v>0.24</v>
          </cell>
          <cell r="E8">
            <v>220</v>
          </cell>
        </row>
        <row r="9">
          <cell r="A9" t="str">
            <v>d+</v>
          </cell>
          <cell r="B9" t="str">
            <v>Dílny nebo pod. prostory - střední</v>
          </cell>
          <cell r="C9">
            <v>200</v>
          </cell>
          <cell r="D9">
            <v>0.3</v>
          </cell>
          <cell r="E9">
            <v>205</v>
          </cell>
        </row>
        <row r="10">
          <cell r="A10" t="str">
            <v>d++</v>
          </cell>
          <cell r="B10" t="str">
            <v>Dílny nebo pod. prostory - vysoká</v>
          </cell>
          <cell r="C10">
            <v>160</v>
          </cell>
          <cell r="D10">
            <v>0.375</v>
          </cell>
        </row>
        <row r="11">
          <cell r="A11" t="str">
            <v>chs</v>
          </cell>
          <cell r="B11" t="str">
            <v>Chodby - strojní mytí hladkých povrchů (chodby)</v>
          </cell>
          <cell r="C11">
            <v>750</v>
          </cell>
          <cell r="D11">
            <v>0.08</v>
          </cell>
          <cell r="E11">
            <v>750</v>
          </cell>
        </row>
        <row r="12">
          <cell r="A12" t="str">
            <v>chr</v>
          </cell>
          <cell r="B12" t="str">
            <v>Chodby,průchody/dopravní plochy - ručně</v>
          </cell>
          <cell r="C12">
            <v>250</v>
          </cell>
          <cell r="D12">
            <v>0.24</v>
          </cell>
          <cell r="E12">
            <v>260</v>
          </cell>
        </row>
        <row r="13">
          <cell r="A13" t="str">
            <v>j</v>
          </cell>
          <cell r="B13" t="str">
            <v>Jídelna - běžná</v>
          </cell>
          <cell r="C13">
            <v>130</v>
          </cell>
          <cell r="D13">
            <v>0.46153846153846156</v>
          </cell>
          <cell r="E13">
            <v>240</v>
          </cell>
        </row>
        <row r="14">
          <cell r="A14" t="str">
            <v>j+</v>
          </cell>
          <cell r="B14" t="str">
            <v>Jídelna - střední</v>
          </cell>
          <cell r="C14">
            <v>120</v>
          </cell>
          <cell r="D14">
            <v>0.5</v>
          </cell>
          <cell r="E14">
            <v>30</v>
          </cell>
        </row>
        <row r="15">
          <cell r="A15" t="str">
            <v>j++</v>
          </cell>
          <cell r="B15" t="str">
            <v>Jídelna - vysoká</v>
          </cell>
          <cell r="C15">
            <v>110</v>
          </cell>
          <cell r="D15">
            <v>0.54545454545454541</v>
          </cell>
          <cell r="E15">
            <v>23</v>
          </cell>
        </row>
        <row r="16">
          <cell r="A16" t="str">
            <v>k</v>
          </cell>
          <cell r="B16" t="str">
            <v>Kanceláře - běžná</v>
          </cell>
          <cell r="C16">
            <v>170</v>
          </cell>
          <cell r="D16">
            <v>0.3529411764705882</v>
          </cell>
          <cell r="E16">
            <v>400</v>
          </cell>
        </row>
        <row r="17">
          <cell r="A17" t="str">
            <v>k+</v>
          </cell>
          <cell r="B17" t="str">
            <v>Kanceláře - střední</v>
          </cell>
          <cell r="C17">
            <v>160</v>
          </cell>
          <cell r="D17">
            <v>0.375</v>
          </cell>
          <cell r="E17">
            <v>330</v>
          </cell>
        </row>
        <row r="18">
          <cell r="A18" t="str">
            <v>k++</v>
          </cell>
          <cell r="B18" t="str">
            <v>Kanceláře - vysoká</v>
          </cell>
          <cell r="C18">
            <v>150</v>
          </cell>
          <cell r="D18">
            <v>0.4</v>
          </cell>
          <cell r="E18">
            <v>260</v>
          </cell>
        </row>
        <row r="19">
          <cell r="A19" t="str">
            <v>ki</v>
          </cell>
          <cell r="B19" t="str">
            <v>Kinosál - běžná</v>
          </cell>
          <cell r="C19">
            <v>160</v>
          </cell>
          <cell r="D19">
            <v>0.375</v>
          </cell>
          <cell r="E19">
            <v>667</v>
          </cell>
        </row>
        <row r="20">
          <cell r="A20" t="str">
            <v>ki+</v>
          </cell>
          <cell r="B20" t="str">
            <v>Kinosál(např.kuřácký/s obsluhou/se schody,apod.) - vysoká</v>
          </cell>
          <cell r="C20">
            <v>110</v>
          </cell>
          <cell r="D20">
            <v>0.54545454545454541</v>
          </cell>
          <cell r="E20">
            <v>400</v>
          </cell>
        </row>
        <row r="21">
          <cell r="A21" t="str">
            <v>ki++</v>
          </cell>
          <cell r="B21" t="str">
            <v>Kinosál(ztížený úklid/nesklápěcísedačky,apod. - střední</v>
          </cell>
          <cell r="C21">
            <v>140</v>
          </cell>
          <cell r="D21">
            <v>0.42857142857142855</v>
          </cell>
          <cell r="E21">
            <v>330</v>
          </cell>
        </row>
        <row r="22">
          <cell r="A22" t="str">
            <v>lab</v>
          </cell>
          <cell r="B22" t="str">
            <v>Laboratoře - běžná</v>
          </cell>
          <cell r="C22">
            <v>160</v>
          </cell>
          <cell r="D22">
            <v>0.375</v>
          </cell>
          <cell r="E22">
            <v>240</v>
          </cell>
        </row>
        <row r="23">
          <cell r="A23" t="str">
            <v>lab+</v>
          </cell>
          <cell r="B23" t="str">
            <v>Laboratoře (vysoká časová náročnost/labor.nábytek)-vysoká</v>
          </cell>
          <cell r="C23">
            <v>140</v>
          </cell>
          <cell r="D23">
            <v>0.42857142857142855</v>
          </cell>
          <cell r="E23">
            <v>250</v>
          </cell>
        </row>
        <row r="24">
          <cell r="A24" t="str">
            <v>odp</v>
          </cell>
          <cell r="B24" t="str">
            <v>Odpad. Místnost</v>
          </cell>
          <cell r="C24">
            <v>230</v>
          </cell>
          <cell r="D24">
            <v>0.2608695652173913</v>
          </cell>
          <cell r="E24">
            <v>230</v>
          </cell>
        </row>
        <row r="25">
          <cell r="A25" t="str">
            <v>pod</v>
          </cell>
          <cell r="B25" t="str">
            <v>Podesty(bez výtahů/schodišťové)</v>
          </cell>
          <cell r="C25">
            <v>250</v>
          </cell>
          <cell r="D25">
            <v>0.24</v>
          </cell>
          <cell r="E25">
            <v>1200</v>
          </cell>
        </row>
        <row r="26">
          <cell r="A26" t="str">
            <v>př</v>
          </cell>
          <cell r="B26" t="str">
            <v>Předsíň(u kanceláře), komora</v>
          </cell>
          <cell r="C26">
            <v>200</v>
          </cell>
          <cell r="D26">
            <v>0.3</v>
          </cell>
          <cell r="E26">
            <v>23</v>
          </cell>
        </row>
        <row r="27">
          <cell r="A27" t="str">
            <v>rec+</v>
          </cell>
          <cell r="B27" t="str">
            <v>Příjem,recepce(se vstupní částí) - vysoká</v>
          </cell>
          <cell r="C27">
            <v>200</v>
          </cell>
          <cell r="D27">
            <v>0.3</v>
          </cell>
          <cell r="E27">
            <v>400</v>
          </cell>
        </row>
        <row r="28">
          <cell r="A28" t="str">
            <v xml:space="preserve">rec </v>
          </cell>
          <cell r="B28" t="str">
            <v>Příjem,recepce/Foyer - běžná</v>
          </cell>
          <cell r="C28">
            <v>280</v>
          </cell>
          <cell r="D28">
            <v>0.21428571428571427</v>
          </cell>
          <cell r="E28">
            <v>1000</v>
          </cell>
        </row>
        <row r="29">
          <cell r="A29" t="str">
            <v>rec++</v>
          </cell>
          <cell r="B29" t="str">
            <v>Příjem,recepce/Foyer - střední</v>
          </cell>
          <cell r="C29">
            <v>250</v>
          </cell>
          <cell r="D29">
            <v>0.24</v>
          </cell>
          <cell r="E29">
            <v>500</v>
          </cell>
        </row>
        <row r="30">
          <cell r="A30" t="str">
            <v>rů</v>
          </cell>
          <cell r="B30" t="str">
            <v>Různé/Diver.prostory/Vedlejší prostory</v>
          </cell>
          <cell r="C30">
            <v>190</v>
          </cell>
          <cell r="D30">
            <v>0.31578947368421051</v>
          </cell>
          <cell r="E30">
            <v>2000</v>
          </cell>
        </row>
        <row r="31">
          <cell r="A31" t="str">
            <v>sau</v>
          </cell>
          <cell r="B31" t="str">
            <v>Sauna</v>
          </cell>
          <cell r="C31">
            <v>60</v>
          </cell>
          <cell r="D31">
            <v>1</v>
          </cell>
          <cell r="E31">
            <v>47</v>
          </cell>
        </row>
        <row r="32">
          <cell r="A32" t="str">
            <v>s</v>
          </cell>
          <cell r="B32" t="str">
            <v>Schody - běžná</v>
          </cell>
          <cell r="C32">
            <v>130</v>
          </cell>
          <cell r="D32">
            <v>0.46153846153846156</v>
          </cell>
          <cell r="E32">
            <v>40</v>
          </cell>
        </row>
        <row r="33">
          <cell r="A33" t="str">
            <v>s+</v>
          </cell>
          <cell r="B33" t="str">
            <v>Schody - střední</v>
          </cell>
          <cell r="C33">
            <v>120</v>
          </cell>
          <cell r="D33">
            <v>0.5</v>
          </cell>
          <cell r="E33">
            <v>60</v>
          </cell>
        </row>
        <row r="34">
          <cell r="A34" t="str">
            <v>s++</v>
          </cell>
          <cell r="B34" t="str">
            <v>Schody - vysoká</v>
          </cell>
          <cell r="C34">
            <v>110</v>
          </cell>
          <cell r="D34">
            <v>0.54545454545454541</v>
          </cell>
          <cell r="E34">
            <v>50</v>
          </cell>
        </row>
        <row r="35">
          <cell r="A35" t="str">
            <v>sven</v>
          </cell>
          <cell r="B35" t="str">
            <v>Sklad materiálu - nezastřešený / vnější</v>
          </cell>
          <cell r="C35">
            <v>250</v>
          </cell>
          <cell r="D35">
            <v>0.24</v>
          </cell>
          <cell r="E35">
            <v>125</v>
          </cell>
        </row>
        <row r="36">
          <cell r="A36" t="str">
            <v>sm</v>
          </cell>
          <cell r="B36" t="str">
            <v>Sklad materiálu - zastřešený / vnitřní</v>
          </cell>
          <cell r="C36">
            <v>300</v>
          </cell>
          <cell r="D36">
            <v>0.2</v>
          </cell>
          <cell r="E36">
            <v>110</v>
          </cell>
        </row>
        <row r="37">
          <cell r="A37" t="str">
            <v>soc</v>
          </cell>
          <cell r="B37" t="str">
            <v>Sociální zařízení (obecně)</v>
          </cell>
          <cell r="C37">
            <v>70</v>
          </cell>
          <cell r="D37">
            <v>0.8571428571428571</v>
          </cell>
          <cell r="E37">
            <v>240</v>
          </cell>
        </row>
        <row r="38">
          <cell r="A38" t="str">
            <v>š+</v>
          </cell>
          <cell r="B38" t="str">
            <v>Šatna - střední</v>
          </cell>
          <cell r="C38">
            <v>180</v>
          </cell>
          <cell r="D38">
            <v>0.33333333333333337</v>
          </cell>
          <cell r="E38">
            <v>215</v>
          </cell>
        </row>
        <row r="39">
          <cell r="A39" t="str">
            <v>š++</v>
          </cell>
          <cell r="B39" t="str">
            <v>Šatna(v dílnách/výrobních podnicích,apod.) - vysoká</v>
          </cell>
          <cell r="C39">
            <v>160</v>
          </cell>
          <cell r="D39">
            <v>0.375</v>
          </cell>
          <cell r="E39">
            <v>194</v>
          </cell>
        </row>
        <row r="40">
          <cell r="A40" t="str">
            <v>š</v>
          </cell>
          <cell r="B40" t="str">
            <v>Šatny - běžná</v>
          </cell>
          <cell r="C40">
            <v>200</v>
          </cell>
          <cell r="D40">
            <v>0.3</v>
          </cell>
          <cell r="E40">
            <v>750</v>
          </cell>
        </row>
        <row r="41">
          <cell r="A41" t="str">
            <v>u</v>
          </cell>
          <cell r="B41" t="str">
            <v>Umývárny(se zrcadly+umývadla/-mušle) - běžná</v>
          </cell>
          <cell r="C41">
            <v>80</v>
          </cell>
          <cell r="D41">
            <v>0.75</v>
          </cell>
          <cell r="E41">
            <v>157</v>
          </cell>
        </row>
        <row r="42">
          <cell r="A42" t="str">
            <v>u+</v>
          </cell>
          <cell r="B42" t="str">
            <v>Umývárny(sprchy) - vysoká</v>
          </cell>
          <cell r="C42">
            <v>60</v>
          </cell>
          <cell r="D42">
            <v>1</v>
          </cell>
          <cell r="E42">
            <v>125</v>
          </cell>
        </row>
        <row r="43">
          <cell r="A43" t="str">
            <v>v</v>
          </cell>
          <cell r="B43" t="str">
            <v>Umývárny,sprchy</v>
          </cell>
          <cell r="C43">
            <v>70</v>
          </cell>
          <cell r="D43">
            <v>0.8571428571428571</v>
          </cell>
          <cell r="E43">
            <v>460</v>
          </cell>
        </row>
        <row r="44">
          <cell r="A44" t="str">
            <v>vn</v>
          </cell>
          <cell r="B44" t="str">
            <v>Výtah nákladní</v>
          </cell>
          <cell r="C44">
            <v>60</v>
          </cell>
          <cell r="D44">
            <v>1</v>
          </cell>
          <cell r="E44">
            <v>400</v>
          </cell>
        </row>
        <row r="45">
          <cell r="A45" t="str">
            <v>vo</v>
          </cell>
          <cell r="B45" t="str">
            <v>Výtah osobní</v>
          </cell>
          <cell r="C45">
            <v>50</v>
          </cell>
          <cell r="D45">
            <v>1.2</v>
          </cell>
          <cell r="E45">
            <v>260</v>
          </cell>
        </row>
        <row r="46">
          <cell r="A46" t="str">
            <v>vp</v>
          </cell>
          <cell r="B46" t="str">
            <v>Výtah panoramatický</v>
          </cell>
          <cell r="C46">
            <v>30</v>
          </cell>
          <cell r="D46">
            <v>2</v>
          </cell>
          <cell r="E46">
            <v>222</v>
          </cell>
        </row>
        <row r="47">
          <cell r="A47" t="str">
            <v>w</v>
          </cell>
          <cell r="B47" t="str">
            <v>WC/sanit.prostory větší než 5qm - běžná</v>
          </cell>
          <cell r="C47">
            <v>70</v>
          </cell>
          <cell r="D47">
            <v>0.8571428571428571</v>
          </cell>
          <cell r="E47">
            <v>64</v>
          </cell>
        </row>
        <row r="48">
          <cell r="A48" t="str">
            <v>w+</v>
          </cell>
          <cell r="B48" t="str">
            <v>WC/sanit.prostory větší než 5qm - vysoká</v>
          </cell>
          <cell r="C48">
            <v>60</v>
          </cell>
          <cell r="D48">
            <v>1</v>
          </cell>
          <cell r="E48">
            <v>64</v>
          </cell>
        </row>
        <row r="49">
          <cell r="A49" t="str">
            <v>w+</v>
          </cell>
          <cell r="B49" t="str">
            <v>WC/sanit.prostorymenší než 5qm - běžná</v>
          </cell>
          <cell r="C49">
            <v>60</v>
          </cell>
          <cell r="D49">
            <v>1</v>
          </cell>
        </row>
        <row r="50">
          <cell r="A50" t="str">
            <v>w++</v>
          </cell>
          <cell r="B50" t="str">
            <v>WC/sanit.prostorymenší než 5qm - vysoká</v>
          </cell>
          <cell r="C50">
            <v>50</v>
          </cell>
          <cell r="D50">
            <v>1.2</v>
          </cell>
        </row>
        <row r="51">
          <cell r="A51" t="str">
            <v>z</v>
          </cell>
          <cell r="B51" t="str">
            <v>Zádveří - běžná</v>
          </cell>
          <cell r="C51">
            <v>170</v>
          </cell>
          <cell r="D51">
            <v>0.3529411764705882</v>
          </cell>
        </row>
        <row r="52">
          <cell r="A52" t="str">
            <v>z+</v>
          </cell>
          <cell r="B52" t="str">
            <v>Zádveří - vysoká</v>
          </cell>
          <cell r="C52">
            <v>140</v>
          </cell>
          <cell r="D52">
            <v>0.42857142857142855</v>
          </cell>
          <cell r="E52">
            <v>1.1499999999999999</v>
          </cell>
        </row>
        <row r="53">
          <cell r="A53" t="str">
            <v>za</v>
          </cell>
          <cell r="B53" t="str">
            <v>Zasedačka - běžná</v>
          </cell>
          <cell r="C53">
            <v>160</v>
          </cell>
          <cell r="D53">
            <v>0.375</v>
          </cell>
          <cell r="E53">
            <v>52</v>
          </cell>
        </row>
        <row r="54">
          <cell r="A54" t="str">
            <v>za+</v>
          </cell>
          <cell r="B54" t="str">
            <v>zasedačka - střední</v>
          </cell>
          <cell r="C54">
            <v>150</v>
          </cell>
          <cell r="D54">
            <v>0.4</v>
          </cell>
        </row>
        <row r="55">
          <cell r="A55">
            <v>7</v>
          </cell>
          <cell r="B55" t="str">
            <v>7xPo-Ne</v>
          </cell>
          <cell r="C55">
            <v>30.4</v>
          </cell>
          <cell r="D55">
            <v>1</v>
          </cell>
        </row>
        <row r="56">
          <cell r="A56">
            <v>6</v>
          </cell>
          <cell r="B56" t="str">
            <v>6xPo-So</v>
          </cell>
          <cell r="C56">
            <v>26.09</v>
          </cell>
          <cell r="D56">
            <v>1</v>
          </cell>
        </row>
        <row r="57">
          <cell r="A57">
            <v>5</v>
          </cell>
          <cell r="B57" t="str">
            <v>5xPo-Pá</v>
          </cell>
          <cell r="C57">
            <v>21.74</v>
          </cell>
          <cell r="D57">
            <v>1</v>
          </cell>
        </row>
        <row r="58">
          <cell r="A58">
            <v>3</v>
          </cell>
          <cell r="B58" t="str">
            <v>3xtýdně</v>
          </cell>
          <cell r="C58">
            <v>13</v>
          </cell>
          <cell r="D58">
            <v>0.66000000000000014</v>
          </cell>
        </row>
        <row r="59">
          <cell r="A59">
            <v>2.5</v>
          </cell>
          <cell r="B59" t="str">
            <v>2,5xtýdně</v>
          </cell>
          <cell r="C59">
            <v>2.5</v>
          </cell>
          <cell r="D59">
            <v>0.55000000000000004</v>
          </cell>
        </row>
        <row r="60">
          <cell r="A60">
            <v>2</v>
          </cell>
          <cell r="B60" t="str">
            <v>2xtýdně</v>
          </cell>
          <cell r="C60">
            <v>8.6999999999999993</v>
          </cell>
          <cell r="D60">
            <v>0.44000000000000006</v>
          </cell>
        </row>
        <row r="61">
          <cell r="A61">
            <v>1</v>
          </cell>
          <cell r="B61" t="str">
            <v>1xtýdně</v>
          </cell>
          <cell r="C61">
            <v>4.3499999999999996</v>
          </cell>
          <cell r="D61">
            <v>0.23</v>
          </cell>
        </row>
        <row r="62">
          <cell r="A62">
            <v>0.5</v>
          </cell>
          <cell r="B62" t="str">
            <v>2xměs</v>
          </cell>
          <cell r="C62">
            <v>2</v>
          </cell>
          <cell r="D62">
            <v>0.12000000000000001</v>
          </cell>
        </row>
        <row r="63">
          <cell r="A63">
            <v>0.25</v>
          </cell>
          <cell r="B63" t="str">
            <v>1xměs</v>
          </cell>
          <cell r="C63">
            <v>1</v>
          </cell>
          <cell r="D63">
            <v>6.5000000000000002E-2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B1:K20"/>
  <sheetViews>
    <sheetView zoomScale="70" zoomScaleNormal="70" workbookViewId="0">
      <selection activeCell="E22" sqref="E22"/>
    </sheetView>
  </sheetViews>
  <sheetFormatPr defaultRowHeight="15" x14ac:dyDescent="0.25"/>
  <cols>
    <col min="1" max="1" width="3.28515625" style="691" customWidth="1"/>
    <col min="2" max="2" width="28.7109375" style="691" customWidth="1"/>
    <col min="3" max="6" width="24.7109375" style="691" customWidth="1"/>
    <col min="7" max="7" width="12.7109375" style="691" bestFit="1" customWidth="1"/>
    <col min="8" max="8" width="13.28515625" style="691" customWidth="1"/>
    <col min="9" max="16384" width="9.140625" style="691"/>
  </cols>
  <sheetData>
    <row r="1" spans="2:10" s="8" customFormat="1" ht="12.75" x14ac:dyDescent="0.2">
      <c r="B1" s="10"/>
      <c r="C1" s="11"/>
      <c r="D1" s="11"/>
      <c r="E1" s="11"/>
      <c r="F1" s="11"/>
      <c r="G1" s="11"/>
    </row>
    <row r="2" spans="2:10" s="8" customFormat="1" ht="21" customHeight="1" x14ac:dyDescent="0.35">
      <c r="B2" s="631" t="s">
        <v>1768</v>
      </c>
      <c r="C2" s="689"/>
      <c r="D2" s="689"/>
      <c r="E2" s="689"/>
      <c r="F2" s="632" t="s">
        <v>1783</v>
      </c>
      <c r="G2" s="11"/>
    </row>
    <row r="3" spans="2:10" s="8" customFormat="1" ht="5.25" customHeight="1" x14ac:dyDescent="0.2">
      <c r="B3" s="10"/>
      <c r="C3" s="11"/>
      <c r="D3" s="11"/>
      <c r="E3" s="11"/>
      <c r="F3" s="11"/>
      <c r="G3" s="11"/>
    </row>
    <row r="4" spans="2:10" s="8" customFormat="1" ht="20.25" customHeight="1" x14ac:dyDescent="0.25">
      <c r="B4" s="2" t="s">
        <v>99</v>
      </c>
      <c r="C4" s="2" t="s">
        <v>1767</v>
      </c>
      <c r="E4" s="5"/>
    </row>
    <row r="5" spans="2:10" s="8" customFormat="1" ht="8.25" customHeight="1" thickBot="1" x14ac:dyDescent="0.25">
      <c r="B5" s="10"/>
      <c r="C5" s="11"/>
      <c r="D5" s="11"/>
      <c r="E5" s="11"/>
      <c r="F5" s="11"/>
      <c r="G5" s="11"/>
    </row>
    <row r="6" spans="2:10" ht="58.5" customHeight="1" x14ac:dyDescent="0.25">
      <c r="B6" s="704" t="s">
        <v>74</v>
      </c>
      <c r="C6" s="700" t="s">
        <v>1759</v>
      </c>
      <c r="D6" s="701"/>
      <c r="E6" s="700" t="s">
        <v>1758</v>
      </c>
      <c r="F6" s="701"/>
      <c r="G6" s="690"/>
      <c r="H6" s="690"/>
      <c r="I6" s="690"/>
      <c r="J6" s="690"/>
    </row>
    <row r="7" spans="2:10" ht="58.5" customHeight="1" thickBot="1" x14ac:dyDescent="0.3">
      <c r="B7" s="705"/>
      <c r="C7" s="702" t="s">
        <v>1760</v>
      </c>
      <c r="D7" s="703"/>
      <c r="E7" s="702" t="s">
        <v>1761</v>
      </c>
      <c r="F7" s="703"/>
      <c r="G7" s="690"/>
      <c r="H7" s="690"/>
      <c r="I7" s="690"/>
      <c r="J7" s="690"/>
    </row>
    <row r="8" spans="2:10" ht="15" customHeight="1" x14ac:dyDescent="0.25">
      <c r="B8" s="698" t="s">
        <v>75</v>
      </c>
      <c r="C8" s="696" t="s">
        <v>76</v>
      </c>
      <c r="D8" s="697"/>
      <c r="E8" s="696" t="s">
        <v>76</v>
      </c>
      <c r="F8" s="697"/>
    </row>
    <row r="9" spans="2:10" ht="15" customHeight="1" thickBot="1" x14ac:dyDescent="0.3">
      <c r="B9" s="699"/>
      <c r="C9" s="625" t="s">
        <v>18</v>
      </c>
      <c r="D9" s="626" t="s">
        <v>19</v>
      </c>
      <c r="E9" s="625" t="s">
        <v>18</v>
      </c>
      <c r="F9" s="626" t="s">
        <v>19</v>
      </c>
    </row>
    <row r="10" spans="2:10" ht="18.75" customHeight="1" x14ac:dyDescent="0.25">
      <c r="B10" s="622" t="str">
        <f>+Příloha5_1_ŘEDITELSTVÍ_VRÁTNICE!A1</f>
        <v>ŘEDITELSTVÍ</v>
      </c>
      <c r="C10" s="623">
        <f>ROUND(4*(Příloha5_1_ŘEDITELSTVÍ_VRÁTNICE!W4),2)</f>
        <v>0</v>
      </c>
      <c r="D10" s="624">
        <f>ROUND(4*(Příloha5_1_ŘEDITELSTVÍ_VRÁTNICE!X4),2)</f>
        <v>0</v>
      </c>
      <c r="E10" s="623">
        <f>ROUND(4*(Příloha5_1_ŘEDITELSTVÍ_VRÁTNICE!Y4),2)</f>
        <v>0</v>
      </c>
      <c r="F10" s="624">
        <f>ROUND(E10*1.21,2)</f>
        <v>0</v>
      </c>
      <c r="G10" s="692"/>
      <c r="H10" s="692"/>
      <c r="J10" s="692"/>
    </row>
    <row r="11" spans="2:10" ht="18.75" customHeight="1" x14ac:dyDescent="0.25">
      <c r="B11" s="617" t="str">
        <f>+Příloha5_2_KOŽNÍ!A1</f>
        <v>KOŽNÍ</v>
      </c>
      <c r="C11" s="615">
        <f>ROUND(4*(Příloha5_2_KOŽNÍ!W4),2)</f>
        <v>0</v>
      </c>
      <c r="D11" s="12">
        <f>ROUND(4*(Příloha5_2_KOŽNÍ!X4),2)</f>
        <v>0</v>
      </c>
      <c r="E11" s="615">
        <f>ROUND(4*(Příloha5_2_KOŽNÍ!Y4),2)</f>
        <v>0</v>
      </c>
      <c r="F11" s="12">
        <f t="shared" ref="F11:F18" si="0">ROUND(E11*1.21,2)</f>
        <v>0</v>
      </c>
      <c r="G11" s="692"/>
      <c r="H11" s="692"/>
      <c r="J11" s="692"/>
    </row>
    <row r="12" spans="2:10" ht="18.75" customHeight="1" x14ac:dyDescent="0.25">
      <c r="B12" s="617" t="str">
        <f>+'Příloha5_3_SPRÁVNÍ BUDOVA'!A1</f>
        <v>SPRÁVNÍ</v>
      </c>
      <c r="C12" s="615">
        <f>ROUND(4*('Příloha5_3_SPRÁVNÍ BUDOVA'!W4),2)</f>
        <v>0</v>
      </c>
      <c r="D12" s="12">
        <f>ROUND(4*('Příloha5_3_SPRÁVNÍ BUDOVA'!X4),2)</f>
        <v>0</v>
      </c>
      <c r="E12" s="615">
        <f>ROUND(4*('Příloha5_3_SPRÁVNÍ BUDOVA'!Y4),2)</f>
        <v>0</v>
      </c>
      <c r="F12" s="12">
        <f t="shared" si="0"/>
        <v>0</v>
      </c>
      <c r="J12" s="692"/>
    </row>
    <row r="13" spans="2:10" ht="18.75" customHeight="1" x14ac:dyDescent="0.25">
      <c r="B13" s="617" t="str">
        <f>+Příloha5_4_IDG!A1</f>
        <v>IDG</v>
      </c>
      <c r="C13" s="615">
        <f>ROUND(4*(Příloha5_4_IDG!W4),2)</f>
        <v>0</v>
      </c>
      <c r="D13" s="12">
        <f>ROUND(4*(Příloha5_4_IDG!X4),2)</f>
        <v>0</v>
      </c>
      <c r="E13" s="615">
        <f>ROUND(4*(Příloha5_4_IDG!Y4),2)</f>
        <v>0</v>
      </c>
      <c r="F13" s="12">
        <f t="shared" si="0"/>
        <v>0</v>
      </c>
      <c r="G13" s="692"/>
      <c r="H13" s="692"/>
      <c r="J13" s="692"/>
    </row>
    <row r="14" spans="2:10" ht="18.75" customHeight="1" x14ac:dyDescent="0.25">
      <c r="B14" s="617" t="str">
        <f>+Příloha5_5_INTERNA!A1</f>
        <v>INTERNA</v>
      </c>
      <c r="C14" s="615">
        <f>ROUND(4*(Příloha5_5_INTERNA!W4),2)</f>
        <v>0</v>
      </c>
      <c r="D14" s="12">
        <f>ROUND(4*(Příloha5_5_INTERNA!X4),2)</f>
        <v>0</v>
      </c>
      <c r="E14" s="615">
        <f>ROUND(4*(Příloha5_5_INTERNA!Y4),2)</f>
        <v>0</v>
      </c>
      <c r="F14" s="12">
        <f t="shared" si="0"/>
        <v>0</v>
      </c>
      <c r="G14" s="692"/>
      <c r="H14" s="692"/>
      <c r="J14" s="692"/>
    </row>
    <row r="15" spans="2:10" ht="18.75" customHeight="1" x14ac:dyDescent="0.25">
      <c r="B15" s="617" t="str">
        <f>+Příloha5_6_MONOBLOK!A1</f>
        <v>MONOBLOK</v>
      </c>
      <c r="C15" s="615">
        <f>ROUND(4*(Příloha5_6_MONOBLOK!W4),2)</f>
        <v>0</v>
      </c>
      <c r="D15" s="12">
        <f>ROUND(4*(Příloha5_6_MONOBLOK!X4),2)</f>
        <v>0</v>
      </c>
      <c r="E15" s="615">
        <f>ROUND(4*(Příloha5_6_MONOBLOK!Y4),2)</f>
        <v>0</v>
      </c>
      <c r="F15" s="12">
        <f t="shared" si="0"/>
        <v>0</v>
      </c>
      <c r="G15" s="692"/>
      <c r="H15" s="692"/>
      <c r="J15" s="692"/>
    </row>
    <row r="16" spans="2:10" ht="18.75" customHeight="1" x14ac:dyDescent="0.25">
      <c r="B16" s="617" t="str">
        <f>+Příloha5_7_PEDIATRIE!A1</f>
        <v>PEDIATRIE</v>
      </c>
      <c r="C16" s="615">
        <f>ROUND(4*(Příloha5_7_PEDIATRIE!W4),2)</f>
        <v>0</v>
      </c>
      <c r="D16" s="12">
        <f>ROUND(4*(Příloha5_7_PEDIATRIE!X4),2)</f>
        <v>0</v>
      </c>
      <c r="E16" s="615">
        <f>ROUND(4*(Příloha5_7_PEDIATRIE!Y4),2)</f>
        <v>0</v>
      </c>
      <c r="F16" s="12">
        <f t="shared" si="0"/>
        <v>0</v>
      </c>
      <c r="G16" s="693"/>
      <c r="H16" s="693"/>
      <c r="J16" s="692"/>
    </row>
    <row r="17" spans="2:11" ht="18.75" customHeight="1" x14ac:dyDescent="0.25">
      <c r="B17" s="617" t="str">
        <f>+Příloha5_8_NEUROLOGIE!A1</f>
        <v>NEUROLOGIE</v>
      </c>
      <c r="C17" s="615">
        <f>ROUND(4*(Příloha5_8_NEUROLOGIE!W4),2)</f>
        <v>0</v>
      </c>
      <c r="D17" s="12">
        <f>ROUND(4*(Příloha5_8_NEUROLOGIE!X4),2)</f>
        <v>0</v>
      </c>
      <c r="E17" s="615">
        <f>ROUND(4*(Příloha5_8_NEUROLOGIE!Y4),2)</f>
        <v>0</v>
      </c>
      <c r="F17" s="12">
        <f t="shared" si="0"/>
        <v>0</v>
      </c>
      <c r="G17" s="693"/>
      <c r="H17" s="693"/>
      <c r="J17" s="692"/>
    </row>
    <row r="18" spans="2:11" ht="18.75" customHeight="1" thickBot="1" x14ac:dyDescent="0.3">
      <c r="B18" s="619" t="str">
        <f>+Příloha5_9_Lékárna!A1</f>
        <v>LÉKÁRNA</v>
      </c>
      <c r="C18" s="620">
        <f>ROUND(4*(Příloha5_9_Lékárna!W4),2)</f>
        <v>0</v>
      </c>
      <c r="D18" s="621">
        <f>ROUND(4*(Příloha5_9_Lékárna!X4),2)</f>
        <v>0</v>
      </c>
      <c r="E18" s="620">
        <f>ROUND(4*(Příloha5_9_Lékárna!Y4),2)</f>
        <v>0</v>
      </c>
      <c r="F18" s="621">
        <f t="shared" si="0"/>
        <v>0</v>
      </c>
      <c r="G18" s="692"/>
      <c r="H18" s="692"/>
      <c r="J18" s="692"/>
    </row>
    <row r="19" spans="2:11" ht="33" customHeight="1" thickTop="1" thickBot="1" x14ac:dyDescent="0.3">
      <c r="B19" s="618" t="s">
        <v>1751</v>
      </c>
      <c r="C19" s="616">
        <f>SUM(C10:C18)</f>
        <v>0</v>
      </c>
      <c r="D19" s="13">
        <f>SUM(D10:D18)</f>
        <v>0</v>
      </c>
      <c r="E19" s="616">
        <f>SUM(E10:E18)</f>
        <v>0</v>
      </c>
      <c r="F19" s="13">
        <f>SUM(F10:F18)</f>
        <v>0</v>
      </c>
      <c r="G19" s="694"/>
      <c r="H19" s="694"/>
      <c r="I19" s="694"/>
      <c r="J19" s="694"/>
      <c r="K19" s="693"/>
    </row>
    <row r="20" spans="2:11" ht="52.5" customHeight="1" x14ac:dyDescent="0.25">
      <c r="G20" s="695"/>
      <c r="H20" s="677"/>
      <c r="I20" s="49"/>
      <c r="J20" s="8"/>
    </row>
  </sheetData>
  <sheetProtection password="CA8C" sheet="1" objects="1" scenarios="1" formatCells="0" formatColumns="0" formatRows="0"/>
  <mergeCells count="8">
    <mergeCell ref="C8:D8"/>
    <mergeCell ref="E8:F8"/>
    <mergeCell ref="B8:B9"/>
    <mergeCell ref="E6:F6"/>
    <mergeCell ref="C6:D6"/>
    <mergeCell ref="C7:D7"/>
    <mergeCell ref="E7:F7"/>
    <mergeCell ref="B6:B7"/>
  </mergeCells>
  <pageMargins left="0.7" right="0.7" top="0.78740157499999996" bottom="0.78740157499999996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23"/>
  <sheetViews>
    <sheetView zoomScale="55" zoomScaleNormal="55" workbookViewId="0">
      <selection activeCell="D27" sqref="D27"/>
    </sheetView>
  </sheetViews>
  <sheetFormatPr defaultRowHeight="12.75" x14ac:dyDescent="0.2"/>
  <cols>
    <col min="1" max="2" width="9.140625" style="1"/>
    <col min="3" max="3" width="28.7109375" style="1" customWidth="1"/>
    <col min="4" max="4" width="16.28515625" style="1" customWidth="1"/>
    <col min="5" max="5" width="10.5703125" style="1" bestFit="1" customWidth="1"/>
    <col min="6" max="6" width="17.42578125" style="1" customWidth="1"/>
    <col min="7" max="7" width="21.7109375" style="1" customWidth="1"/>
    <col min="8" max="8" width="5" style="1" customWidth="1"/>
    <col min="9" max="9" width="9.140625" style="1"/>
    <col min="10" max="10" width="11.28515625" style="1" customWidth="1"/>
    <col min="11" max="11" width="9.140625" style="1"/>
    <col min="12" max="12" width="16.7109375" style="1" customWidth="1"/>
    <col min="13" max="13" width="9.140625" style="1"/>
    <col min="14" max="14" width="9.140625" style="413"/>
    <col min="15" max="18" width="9.28515625" style="1" bestFit="1" customWidth="1"/>
    <col min="19" max="21" width="9.140625" style="1"/>
    <col min="22" max="22" width="9.28515625" style="1" bestFit="1" customWidth="1"/>
    <col min="23" max="23" width="12.7109375" style="1" customWidth="1"/>
    <col min="24" max="24" width="13.42578125" style="1" customWidth="1"/>
    <col min="25" max="25" width="14.28515625" style="1" customWidth="1"/>
    <col min="26" max="16384" width="9.140625" style="1"/>
  </cols>
  <sheetData>
    <row r="1" spans="1:25" ht="16.5" thickBot="1" x14ac:dyDescent="0.3">
      <c r="A1" s="14" t="s">
        <v>1558</v>
      </c>
      <c r="B1" s="213"/>
      <c r="C1" s="213"/>
      <c r="D1" s="213"/>
      <c r="E1" s="213"/>
      <c r="F1" s="15"/>
      <c r="G1" s="15"/>
      <c r="H1" s="15"/>
      <c r="I1" s="15"/>
      <c r="J1" s="15"/>
      <c r="K1" s="15"/>
      <c r="L1" s="15"/>
      <c r="M1" s="15"/>
      <c r="N1" s="319"/>
      <c r="O1" s="15"/>
      <c r="P1" s="15"/>
      <c r="Q1" s="15"/>
      <c r="R1" s="15"/>
      <c r="S1" s="15"/>
      <c r="T1" s="15"/>
      <c r="U1" s="15"/>
      <c r="V1" s="15"/>
      <c r="W1" s="5"/>
      <c r="X1" s="5" t="s">
        <v>100</v>
      </c>
      <c r="Y1" s="6" t="s">
        <v>1779</v>
      </c>
    </row>
    <row r="2" spans="1:25" ht="33.75" customHeight="1" x14ac:dyDescent="0.2">
      <c r="A2" s="755" t="s">
        <v>73</v>
      </c>
      <c r="B2" s="752" t="s">
        <v>72</v>
      </c>
      <c r="C2" s="752" t="s">
        <v>291</v>
      </c>
      <c r="D2" s="752" t="s">
        <v>292</v>
      </c>
      <c r="E2" s="752" t="s">
        <v>62</v>
      </c>
      <c r="F2" s="752" t="s">
        <v>61</v>
      </c>
      <c r="G2" s="752" t="s">
        <v>60</v>
      </c>
      <c r="H2" s="752" t="s">
        <v>98</v>
      </c>
      <c r="I2" s="752" t="s">
        <v>97</v>
      </c>
      <c r="J2" s="754" t="s">
        <v>71</v>
      </c>
      <c r="K2" s="754"/>
      <c r="L2" s="752" t="s">
        <v>59</v>
      </c>
      <c r="M2" s="752" t="s">
        <v>57</v>
      </c>
      <c r="N2" s="763" t="s">
        <v>643</v>
      </c>
      <c r="O2" s="752" t="s">
        <v>103</v>
      </c>
      <c r="P2" s="752" t="s">
        <v>104</v>
      </c>
      <c r="Q2" s="752" t="s">
        <v>105</v>
      </c>
      <c r="R2" s="752" t="s">
        <v>106</v>
      </c>
      <c r="S2" s="752" t="s">
        <v>107</v>
      </c>
      <c r="T2" s="752" t="s">
        <v>108</v>
      </c>
      <c r="U2" s="752" t="s">
        <v>109</v>
      </c>
      <c r="V2" s="752" t="s">
        <v>110</v>
      </c>
      <c r="W2" s="752" t="s">
        <v>1744</v>
      </c>
      <c r="X2" s="750" t="s">
        <v>1745</v>
      </c>
      <c r="Y2" s="750" t="s">
        <v>1746</v>
      </c>
    </row>
    <row r="3" spans="1:25" ht="33.75" customHeight="1" thickBot="1" x14ac:dyDescent="0.25">
      <c r="A3" s="756"/>
      <c r="B3" s="753"/>
      <c r="C3" s="753"/>
      <c r="D3" s="753"/>
      <c r="E3" s="753"/>
      <c r="F3" s="753"/>
      <c r="G3" s="753"/>
      <c r="H3" s="753"/>
      <c r="I3" s="753"/>
      <c r="J3" s="16" t="s">
        <v>1559</v>
      </c>
      <c r="K3" s="147" t="s">
        <v>58</v>
      </c>
      <c r="L3" s="753"/>
      <c r="M3" s="753"/>
      <c r="N3" s="764"/>
      <c r="O3" s="753"/>
      <c r="P3" s="753"/>
      <c r="Q3" s="753"/>
      <c r="R3" s="753"/>
      <c r="S3" s="753"/>
      <c r="T3" s="753"/>
      <c r="U3" s="753"/>
      <c r="V3" s="753"/>
      <c r="W3" s="753"/>
      <c r="X3" s="751"/>
      <c r="Y3" s="751"/>
    </row>
    <row r="4" spans="1:25" x14ac:dyDescent="0.2">
      <c r="A4" s="15"/>
      <c r="B4" s="15"/>
      <c r="C4" s="15"/>
      <c r="D4" s="15"/>
      <c r="E4" s="15"/>
      <c r="F4" s="15"/>
      <c r="G4" s="15"/>
      <c r="H4" s="15"/>
      <c r="I4" s="15"/>
      <c r="J4" s="414">
        <f>SUM(J6:J11,J15,J17:J52,J54:J69,J71:J79,J81:J112)</f>
        <v>1546.2359999999999</v>
      </c>
      <c r="K4" s="415">
        <f>SUM(J6:J112)</f>
        <v>1601.7759999999996</v>
      </c>
      <c r="L4" s="15"/>
      <c r="M4" s="15"/>
      <c r="N4" s="319"/>
      <c r="O4" s="15"/>
      <c r="P4" s="15"/>
      <c r="Q4" s="15"/>
      <c r="R4" s="15"/>
      <c r="S4" s="15"/>
      <c r="T4" s="15"/>
      <c r="U4" s="15"/>
      <c r="V4" s="15"/>
      <c r="W4" s="322">
        <f>SUM(W6:W112)</f>
        <v>0</v>
      </c>
      <c r="X4" s="322">
        <f>SUM(X6:X112)</f>
        <v>0</v>
      </c>
      <c r="Y4" s="322">
        <f>SUM(Y6:Y112)</f>
        <v>0</v>
      </c>
    </row>
    <row r="5" spans="1:25" x14ac:dyDescent="0.2">
      <c r="A5" s="416"/>
      <c r="B5" s="416"/>
      <c r="C5" s="416"/>
      <c r="D5" s="416"/>
      <c r="E5" s="416"/>
      <c r="F5" s="416"/>
      <c r="G5" s="416"/>
      <c r="H5" s="416"/>
      <c r="I5" s="416"/>
      <c r="J5" s="417"/>
      <c r="K5" s="416"/>
      <c r="L5" s="416"/>
      <c r="M5" s="416"/>
      <c r="N5" s="418"/>
      <c r="O5" s="416"/>
      <c r="P5" s="416"/>
      <c r="Q5" s="416"/>
      <c r="R5" s="416"/>
      <c r="S5" s="416"/>
      <c r="T5" s="416"/>
      <c r="U5" s="416"/>
      <c r="V5" s="416"/>
      <c r="W5" s="417"/>
      <c r="X5" s="417"/>
      <c r="Y5" s="417"/>
    </row>
    <row r="6" spans="1:25" ht="15" x14ac:dyDescent="0.25">
      <c r="A6" s="171" t="s">
        <v>767</v>
      </c>
      <c r="B6" s="419" t="s">
        <v>334</v>
      </c>
      <c r="C6" s="419"/>
      <c r="D6" s="139">
        <f>VLOOKUP(C6,'Seznam HS - nemaš'!$A$1:$B$96,2,FALSE)</f>
        <v>0</v>
      </c>
      <c r="E6" s="420" t="s">
        <v>335</v>
      </c>
      <c r="F6" s="421" t="s">
        <v>336</v>
      </c>
      <c r="G6" s="421"/>
      <c r="H6" s="28">
        <f>+IF(ISBLANK(I6),0,VLOOKUP(I6,'8Příloha_2_ceník_pravid_úklid'!$B$9:$C$30,2,0))</f>
        <v>8</v>
      </c>
      <c r="I6" s="420" t="s">
        <v>11</v>
      </c>
      <c r="J6" s="422">
        <v>8.16</v>
      </c>
      <c r="K6" s="420" t="s">
        <v>337</v>
      </c>
      <c r="L6" s="423" t="s">
        <v>65</v>
      </c>
      <c r="M6" s="424" t="s">
        <v>49</v>
      </c>
      <c r="N6" s="19">
        <f>IF((VLOOKUP(I6,'8Příloha_2_ceník_pravid_úklid'!$B$9:$I$30,8,0))=0,VLOOKUP(I6,'8Příloha_2_ceník_pravid_úklid'!$B$9:$K$30,10,0),VLOOKUP(I6,'8Příloha_2_ceník_pravid_úklid'!$B$9:$I$30,8,0))</f>
        <v>0</v>
      </c>
      <c r="O6" s="20">
        <v>2</v>
      </c>
      <c r="P6" s="20">
        <v>1</v>
      </c>
      <c r="Q6" s="20">
        <v>0</v>
      </c>
      <c r="R6" s="20">
        <v>0</v>
      </c>
      <c r="S6" s="26">
        <f>NETWORKDAYS.INTL(DATE(2018,1,1),DATE(2018,12,31),1,{"2018/1/1";"2018/3/30";"2018/4/2";"2018/5/1";"2018/5/8";"2018/7/5";"2018/7/6";"2018/09/28";"2018/11/17";"2018/12/24";"2018/12/25";"2018/12/26"})</f>
        <v>250</v>
      </c>
      <c r="T6" s="26">
        <f t="shared" ref="T6:T69" si="0">U6-S6</f>
        <v>115</v>
      </c>
      <c r="U6" s="26">
        <f t="shared" ref="U6:U69" si="1">_xlfn.DAYS("1.1.2019","1.1.2018")</f>
        <v>365</v>
      </c>
      <c r="V6" s="153">
        <f t="shared" ref="V6:V69" si="2">ROUND(O6*P6*S6+Q6*R6*T6,2)</f>
        <v>500</v>
      </c>
      <c r="W6" s="140">
        <f t="shared" ref="W6:W69" si="3">ROUND(IF(N6="neoceňuje se",+J6*0*V6,J6*N6*V6),2)</f>
        <v>0</v>
      </c>
      <c r="X6" s="141">
        <f t="shared" ref="X6:Y69" si="4">ROUND(W6*1.21,2)</f>
        <v>0</v>
      </c>
      <c r="Y6" s="141">
        <v>0</v>
      </c>
    </row>
    <row r="7" spans="1:25" ht="15" x14ac:dyDescent="0.25">
      <c r="A7" s="138" t="s">
        <v>69</v>
      </c>
      <c r="B7" s="412" t="s">
        <v>334</v>
      </c>
      <c r="C7" s="412" t="s">
        <v>213</v>
      </c>
      <c r="D7" s="139" t="str">
        <f>VLOOKUP(C7,'Seznam HS - nemaš'!$A$1:$B$96,2,FALSE)</f>
        <v>450500</v>
      </c>
      <c r="E7" s="425" t="s">
        <v>388</v>
      </c>
      <c r="F7" s="426" t="s">
        <v>1560</v>
      </c>
      <c r="G7" s="426" t="s">
        <v>1561</v>
      </c>
      <c r="H7" s="28">
        <f>+IF(ISBLANK(I7),0,VLOOKUP(I7,'8Příloha_2_ceník_pravid_úklid'!$B$9:$C$30,2,0))</f>
        <v>17</v>
      </c>
      <c r="I7" s="425" t="s">
        <v>13</v>
      </c>
      <c r="J7" s="427">
        <v>14.43</v>
      </c>
      <c r="K7" s="425" t="s">
        <v>337</v>
      </c>
      <c r="L7" s="428" t="s">
        <v>694</v>
      </c>
      <c r="M7" s="429" t="s">
        <v>49</v>
      </c>
      <c r="N7" s="19">
        <f>IF((VLOOKUP(I7,'8Příloha_2_ceník_pravid_úklid'!$B$9:$I$30,8,0))=0,VLOOKUP(I7,'8Příloha_2_ceník_pravid_úklid'!$B$9:$K$30,10,0),VLOOKUP(I7,'8Příloha_2_ceník_pravid_úklid'!$B$9:$I$30,8,0))</f>
        <v>0</v>
      </c>
      <c r="O7" s="20">
        <v>1</v>
      </c>
      <c r="P7" s="318">
        <f>ROUND(1/21,2)</f>
        <v>0.05</v>
      </c>
      <c r="Q7" s="20">
        <v>0</v>
      </c>
      <c r="R7" s="20">
        <v>0</v>
      </c>
      <c r="S7" s="21">
        <f>NETWORKDAYS.INTL(DATE(2018,1,1),DATE(2018,12,31),1,{"2018/1/1";"2018/3/30";"2018/4/2";"2018/5/1";"2018/5/8";"2018/7/5";"2018/7/6";"2018/09/28";"2018/11/17";"2018/12/24";"2018/12/25";"2018/12/26"})</f>
        <v>250</v>
      </c>
      <c r="T7" s="21">
        <f t="shared" si="0"/>
        <v>115</v>
      </c>
      <c r="U7" s="21">
        <f t="shared" si="1"/>
        <v>365</v>
      </c>
      <c r="V7" s="144">
        <f t="shared" si="2"/>
        <v>12.5</v>
      </c>
      <c r="W7" s="140">
        <f t="shared" si="3"/>
        <v>0</v>
      </c>
      <c r="X7" s="141">
        <f t="shared" si="4"/>
        <v>0</v>
      </c>
      <c r="Y7" s="141">
        <v>0</v>
      </c>
    </row>
    <row r="8" spans="1:25" ht="15" x14ac:dyDescent="0.25">
      <c r="A8" s="138" t="s">
        <v>1562</v>
      </c>
      <c r="B8" s="412" t="s">
        <v>334</v>
      </c>
      <c r="C8" s="412"/>
      <c r="D8" s="139">
        <f>VLOOKUP(C8,'Seznam HS - nemaš'!$A$1:$B$96,2,FALSE)</f>
        <v>0</v>
      </c>
      <c r="E8" s="425" t="s">
        <v>390</v>
      </c>
      <c r="F8" s="426" t="s">
        <v>766</v>
      </c>
      <c r="G8" s="426"/>
      <c r="H8" s="28">
        <f>+IF(ISBLANK(I8),0,VLOOKUP(I8,'8Příloha_2_ceník_pravid_úklid'!$B$9:$C$30,2,0))</f>
        <v>11</v>
      </c>
      <c r="I8" s="425" t="s">
        <v>7</v>
      </c>
      <c r="J8" s="427">
        <v>5.09</v>
      </c>
      <c r="K8" s="425" t="s">
        <v>51</v>
      </c>
      <c r="L8" s="428" t="s">
        <v>22</v>
      </c>
      <c r="M8" s="429" t="s">
        <v>49</v>
      </c>
      <c r="N8" s="19">
        <f>IF((VLOOKUP(I8,'8Příloha_2_ceník_pravid_úklid'!$B$9:$I$30,8,0))=0,VLOOKUP(I8,'8Příloha_2_ceník_pravid_úklid'!$B$9:$K$30,10,0),VLOOKUP(I8,'8Příloha_2_ceník_pravid_úklid'!$B$9:$I$30,8,0))</f>
        <v>0</v>
      </c>
      <c r="O8" s="430">
        <v>2</v>
      </c>
      <c r="P8" s="430">
        <v>1</v>
      </c>
      <c r="Q8" s="430">
        <v>2</v>
      </c>
      <c r="R8" s="430">
        <v>1</v>
      </c>
      <c r="S8" s="21">
        <f>NETWORKDAYS.INTL(DATE(2018,1,1),DATE(2018,12,31),1,{"2018/1/1";"2018/3/30";"2018/4/2";"2018/5/1";"2018/5/8";"2018/7/5";"2018/7/6";"2018/09/28";"2018/11/17";"2018/12/24";"2018/12/25";"2018/12/26"})</f>
        <v>250</v>
      </c>
      <c r="T8" s="21">
        <f t="shared" si="0"/>
        <v>115</v>
      </c>
      <c r="U8" s="21">
        <f t="shared" si="1"/>
        <v>365</v>
      </c>
      <c r="V8" s="144">
        <f t="shared" si="2"/>
        <v>730</v>
      </c>
      <c r="W8" s="140">
        <f t="shared" si="3"/>
        <v>0</v>
      </c>
      <c r="X8" s="141">
        <f t="shared" si="4"/>
        <v>0</v>
      </c>
      <c r="Y8" s="234">
        <v>0</v>
      </c>
    </row>
    <row r="9" spans="1:25" ht="15" x14ac:dyDescent="0.25">
      <c r="A9" s="138" t="s">
        <v>1562</v>
      </c>
      <c r="B9" s="412" t="s">
        <v>334</v>
      </c>
      <c r="C9" s="412"/>
      <c r="D9" s="139">
        <f>VLOOKUP(C9,'Seznam HS - nemaš'!$A$1:$B$96,2,FALSE)</f>
        <v>0</v>
      </c>
      <c r="E9" s="425" t="s">
        <v>391</v>
      </c>
      <c r="F9" s="426" t="s">
        <v>53</v>
      </c>
      <c r="G9" s="426"/>
      <c r="H9" s="28">
        <f>+IF(ISBLANK(I9),0,VLOOKUP(I9,'8Příloha_2_ceník_pravid_úklid'!$B$9:$C$30,2,0))</f>
        <v>6</v>
      </c>
      <c r="I9" s="425" t="s">
        <v>1</v>
      </c>
      <c r="J9" s="427">
        <v>75.69</v>
      </c>
      <c r="K9" s="425" t="s">
        <v>51</v>
      </c>
      <c r="L9" s="431" t="s">
        <v>956</v>
      </c>
      <c r="M9" s="429" t="s">
        <v>49</v>
      </c>
      <c r="N9" s="19">
        <f>IF((VLOOKUP(I9,'8Příloha_2_ceník_pravid_úklid'!$B$9:$I$30,8,0))=0,VLOOKUP(I9,'8Příloha_2_ceník_pravid_úklid'!$B$9:$K$30,10,0),VLOOKUP(I9,'8Příloha_2_ceník_pravid_úklid'!$B$9:$I$30,8,0))</f>
        <v>0</v>
      </c>
      <c r="O9" s="430">
        <v>2</v>
      </c>
      <c r="P9" s="430">
        <v>1</v>
      </c>
      <c r="Q9" s="430">
        <v>1</v>
      </c>
      <c r="R9" s="430">
        <v>1</v>
      </c>
      <c r="S9" s="21">
        <f>NETWORKDAYS.INTL(DATE(2018,1,1),DATE(2018,12,31),1,{"2018/1/1";"2018/3/30";"2018/4/2";"2018/5/1";"2018/5/8";"2018/7/5";"2018/7/6";"2018/09/28";"2018/11/17";"2018/12/24";"2018/12/25";"2018/12/26"})</f>
        <v>250</v>
      </c>
      <c r="T9" s="21">
        <f t="shared" si="0"/>
        <v>115</v>
      </c>
      <c r="U9" s="21">
        <f t="shared" si="1"/>
        <v>365</v>
      </c>
      <c r="V9" s="144">
        <f t="shared" si="2"/>
        <v>615</v>
      </c>
      <c r="W9" s="140">
        <f t="shared" si="3"/>
        <v>0</v>
      </c>
      <c r="X9" s="141">
        <f t="shared" si="4"/>
        <v>0</v>
      </c>
      <c r="Y9" s="141">
        <v>0</v>
      </c>
    </row>
    <row r="10" spans="1:25" ht="15" x14ac:dyDescent="0.25">
      <c r="A10" s="138" t="s">
        <v>1563</v>
      </c>
      <c r="B10" s="412" t="s">
        <v>334</v>
      </c>
      <c r="C10" s="412" t="s">
        <v>141</v>
      </c>
      <c r="D10" s="139" t="str">
        <f>VLOOKUP(C10,'Seznam HS - nemaš'!$A$1:$B$96,2,FALSE)</f>
        <v>402100</v>
      </c>
      <c r="E10" s="425" t="s">
        <v>531</v>
      </c>
      <c r="F10" s="426" t="s">
        <v>494</v>
      </c>
      <c r="G10" s="426" t="s">
        <v>1564</v>
      </c>
      <c r="H10" s="28">
        <f>+IF(ISBLANK(I10),0,VLOOKUP(I10,'8Příloha_2_ceník_pravid_úklid'!$B$9:$C$30,2,0))</f>
        <v>10</v>
      </c>
      <c r="I10" s="425" t="s">
        <v>0</v>
      </c>
      <c r="J10" s="427">
        <v>17.89</v>
      </c>
      <c r="K10" s="425" t="s">
        <v>51</v>
      </c>
      <c r="L10" s="432" t="s">
        <v>373</v>
      </c>
      <c r="M10" s="429" t="s">
        <v>49</v>
      </c>
      <c r="N10" s="19">
        <f>IF((VLOOKUP(I10,'8Příloha_2_ceník_pravid_úklid'!$B$9:$I$30,8,0))=0,VLOOKUP(I10,'8Příloha_2_ceník_pravid_úklid'!$B$9:$K$30,10,0),VLOOKUP(I10,'8Příloha_2_ceník_pravid_úklid'!$B$9:$I$30,8,0))</f>
        <v>0</v>
      </c>
      <c r="O10" s="430">
        <v>1</v>
      </c>
      <c r="P10" s="430">
        <f>3/5</f>
        <v>0.6</v>
      </c>
      <c r="Q10" s="20">
        <v>0</v>
      </c>
      <c r="R10" s="20">
        <v>0</v>
      </c>
      <c r="S10" s="21">
        <f>NETWORKDAYS.INTL(DATE(2018,1,1),DATE(2018,12,31),1,{"2018/1/1";"2018/3/30";"2018/4/2";"2018/5/1";"2018/5/8";"2018/7/5";"2018/7/6";"2018/09/28";"2018/11/17";"2018/12/24";"2018/12/25";"2018/12/26"})</f>
        <v>250</v>
      </c>
      <c r="T10" s="21">
        <f t="shared" si="0"/>
        <v>115</v>
      </c>
      <c r="U10" s="21">
        <f t="shared" si="1"/>
        <v>365</v>
      </c>
      <c r="V10" s="144">
        <f t="shared" si="2"/>
        <v>150</v>
      </c>
      <c r="W10" s="140">
        <f t="shared" si="3"/>
        <v>0</v>
      </c>
      <c r="X10" s="141">
        <f t="shared" si="4"/>
        <v>0</v>
      </c>
      <c r="Y10" s="141">
        <v>0</v>
      </c>
    </row>
    <row r="11" spans="1:25" ht="15" x14ac:dyDescent="0.25">
      <c r="A11" s="276" t="s">
        <v>1563</v>
      </c>
      <c r="B11" s="433" t="s">
        <v>334</v>
      </c>
      <c r="C11" s="433" t="s">
        <v>223</v>
      </c>
      <c r="D11" s="139" t="str">
        <f>VLOOKUP(C11,'Seznam HS - nemaš'!$A$1:$B$96,2,FALSE)</f>
        <v>455400</v>
      </c>
      <c r="E11" s="434" t="s">
        <v>533</v>
      </c>
      <c r="F11" s="435" t="s">
        <v>389</v>
      </c>
      <c r="G11" s="435" t="s">
        <v>1565</v>
      </c>
      <c r="H11" s="28">
        <f>+IF(ISBLANK(I11),0,VLOOKUP(I11,'8Příloha_2_ceník_pravid_úklid'!$B$9:$C$30,2,0))</f>
        <v>17</v>
      </c>
      <c r="I11" s="434" t="s">
        <v>13</v>
      </c>
      <c r="J11" s="436">
        <v>6.53</v>
      </c>
      <c r="K11" s="434" t="s">
        <v>50</v>
      </c>
      <c r="L11" s="428" t="s">
        <v>694</v>
      </c>
      <c r="M11" s="429" t="s">
        <v>49</v>
      </c>
      <c r="N11" s="19">
        <f>IF((VLOOKUP(I11,'8Příloha_2_ceník_pravid_úklid'!$B$9:$I$30,8,0))=0,VLOOKUP(I11,'8Příloha_2_ceník_pravid_úklid'!$B$9:$K$30,10,0),VLOOKUP(I11,'8Příloha_2_ceník_pravid_úklid'!$B$9:$I$30,8,0))</f>
        <v>0</v>
      </c>
      <c r="O11" s="20">
        <v>1</v>
      </c>
      <c r="P11" s="318">
        <f>ROUND(1/21,2)</f>
        <v>0.05</v>
      </c>
      <c r="Q11" s="20">
        <v>0</v>
      </c>
      <c r="R11" s="20">
        <v>0</v>
      </c>
      <c r="S11" s="21">
        <f>NETWORKDAYS.INTL(DATE(2018,1,1),DATE(2018,12,31),1,{"2018/1/1";"2018/3/30";"2018/4/2";"2018/5/1";"2018/5/8";"2018/7/5";"2018/7/6";"2018/09/28";"2018/11/17";"2018/12/24";"2018/12/25";"2018/12/26"})</f>
        <v>250</v>
      </c>
      <c r="T11" s="21">
        <f t="shared" si="0"/>
        <v>115</v>
      </c>
      <c r="U11" s="21">
        <f t="shared" si="1"/>
        <v>365</v>
      </c>
      <c r="V11" s="144">
        <f t="shared" si="2"/>
        <v>12.5</v>
      </c>
      <c r="W11" s="140">
        <f t="shared" si="3"/>
        <v>0</v>
      </c>
      <c r="X11" s="141">
        <f t="shared" si="4"/>
        <v>0</v>
      </c>
      <c r="Y11" s="141">
        <v>0</v>
      </c>
    </row>
    <row r="12" spans="1:25" ht="15" x14ac:dyDescent="0.25">
      <c r="A12" s="235" t="s">
        <v>1563</v>
      </c>
      <c r="B12" s="437" t="s">
        <v>334</v>
      </c>
      <c r="C12" s="437" t="s">
        <v>141</v>
      </c>
      <c r="D12" s="535" t="str">
        <f>VLOOKUP(C12,'Seznam HS - nemaš'!$A$1:$B$96,2,FALSE)</f>
        <v>402100</v>
      </c>
      <c r="E12" s="438" t="s">
        <v>535</v>
      </c>
      <c r="F12" s="439" t="s">
        <v>389</v>
      </c>
      <c r="G12" s="439" t="s">
        <v>1564</v>
      </c>
      <c r="H12" s="224">
        <f>+IF(ISBLANK(I12),0,VLOOKUP(I12,'8Příloha_2_ceník_pravid_úklid'!$B$9:$C$30,2,0))</f>
        <v>17</v>
      </c>
      <c r="I12" s="438" t="s">
        <v>13</v>
      </c>
      <c r="J12" s="440">
        <v>16.62</v>
      </c>
      <c r="K12" s="438" t="s">
        <v>50</v>
      </c>
      <c r="L12" s="441" t="s">
        <v>387</v>
      </c>
      <c r="M12" s="442"/>
      <c r="N12" s="229" t="s">
        <v>501</v>
      </c>
      <c r="O12" s="230">
        <v>0</v>
      </c>
      <c r="P12" s="230">
        <v>0</v>
      </c>
      <c r="Q12" s="230">
        <v>0</v>
      </c>
      <c r="R12" s="230">
        <v>0</v>
      </c>
      <c r="S12" s="231">
        <f>NETWORKDAYS.INTL(DATE(2018,1,1),DATE(2018,12,31),1,{"2018/1/1";"2018/3/30";"2018/4/2";"2018/5/1";"2018/5/8";"2018/7/5";"2018/7/6";"2018/09/28";"2018/11/17";"2018/12/24";"2018/12/25";"2018/12/26"})</f>
        <v>250</v>
      </c>
      <c r="T12" s="231">
        <f t="shared" si="0"/>
        <v>115</v>
      </c>
      <c r="U12" s="231">
        <f t="shared" si="1"/>
        <v>365</v>
      </c>
      <c r="V12" s="232">
        <f t="shared" si="2"/>
        <v>0</v>
      </c>
      <c r="W12" s="233">
        <f t="shared" si="3"/>
        <v>0</v>
      </c>
      <c r="X12" s="234">
        <f t="shared" si="4"/>
        <v>0</v>
      </c>
      <c r="Y12" s="234">
        <f t="shared" si="4"/>
        <v>0</v>
      </c>
    </row>
    <row r="13" spans="1:25" ht="15" x14ac:dyDescent="0.25">
      <c r="A13" s="235" t="s">
        <v>1563</v>
      </c>
      <c r="B13" s="437" t="s">
        <v>334</v>
      </c>
      <c r="C13" s="437" t="s">
        <v>225</v>
      </c>
      <c r="D13" s="535" t="str">
        <f>VLOOKUP(C13,'Seznam HS - nemaš'!$A$1:$B$96,2,FALSE)</f>
        <v>455500</v>
      </c>
      <c r="E13" s="438" t="s">
        <v>1566</v>
      </c>
      <c r="F13" s="439" t="s">
        <v>389</v>
      </c>
      <c r="G13" s="439" t="s">
        <v>1565</v>
      </c>
      <c r="H13" s="224">
        <f>+IF(ISBLANK(I13),0,VLOOKUP(I13,'8Příloha_2_ceník_pravid_úklid'!$B$9:$C$30,2,0))</f>
        <v>17</v>
      </c>
      <c r="I13" s="438" t="s">
        <v>13</v>
      </c>
      <c r="J13" s="440">
        <v>13.49</v>
      </c>
      <c r="K13" s="438" t="s">
        <v>50</v>
      </c>
      <c r="L13" s="441" t="s">
        <v>387</v>
      </c>
      <c r="M13" s="442"/>
      <c r="N13" s="229" t="s">
        <v>501</v>
      </c>
      <c r="O13" s="230">
        <v>0</v>
      </c>
      <c r="P13" s="230">
        <v>0</v>
      </c>
      <c r="Q13" s="230">
        <v>0</v>
      </c>
      <c r="R13" s="230">
        <v>0</v>
      </c>
      <c r="S13" s="231">
        <f>NETWORKDAYS.INTL(DATE(2018,1,1),DATE(2018,12,31),1,{"2018/1/1";"2018/3/30";"2018/4/2";"2018/5/1";"2018/5/8";"2018/7/5";"2018/7/6";"2018/09/28";"2018/11/17";"2018/12/24";"2018/12/25";"2018/12/26"})</f>
        <v>250</v>
      </c>
      <c r="T13" s="231">
        <f t="shared" si="0"/>
        <v>115</v>
      </c>
      <c r="U13" s="231">
        <f t="shared" si="1"/>
        <v>365</v>
      </c>
      <c r="V13" s="232">
        <f t="shared" si="2"/>
        <v>0</v>
      </c>
      <c r="W13" s="233">
        <f t="shared" si="3"/>
        <v>0</v>
      </c>
      <c r="X13" s="234">
        <f t="shared" si="4"/>
        <v>0</v>
      </c>
      <c r="Y13" s="234">
        <f t="shared" si="4"/>
        <v>0</v>
      </c>
    </row>
    <row r="14" spans="1:25" ht="15" x14ac:dyDescent="0.25">
      <c r="A14" s="251" t="s">
        <v>1563</v>
      </c>
      <c r="B14" s="536" t="s">
        <v>334</v>
      </c>
      <c r="C14" s="536"/>
      <c r="D14" s="542">
        <f>VLOOKUP(C14,'Seznam HS - nemaš'!$A$1:$B$96,2,FALSE)</f>
        <v>0</v>
      </c>
      <c r="E14" s="537" t="s">
        <v>538</v>
      </c>
      <c r="F14" s="538" t="s">
        <v>389</v>
      </c>
      <c r="G14" s="538" t="s">
        <v>1567</v>
      </c>
      <c r="H14" s="296">
        <f>+IF(ISBLANK(I14),0,VLOOKUP(I14,'8Příloha_2_ceník_pravid_úklid'!$B$9:$C$30,2,0))</f>
        <v>17</v>
      </c>
      <c r="I14" s="537" t="s">
        <v>13</v>
      </c>
      <c r="J14" s="539">
        <v>13.08</v>
      </c>
      <c r="K14" s="537" t="s">
        <v>50</v>
      </c>
      <c r="L14" s="540" t="s">
        <v>387</v>
      </c>
      <c r="M14" s="541"/>
      <c r="N14" s="260" t="s">
        <v>501</v>
      </c>
      <c r="O14" s="261">
        <v>0</v>
      </c>
      <c r="P14" s="261">
        <v>0</v>
      </c>
      <c r="Q14" s="261">
        <v>0</v>
      </c>
      <c r="R14" s="261">
        <v>0</v>
      </c>
      <c r="S14" s="262">
        <f>NETWORKDAYS.INTL(DATE(2018,1,1),DATE(2018,12,31),1,{"2018/1/1";"2018/3/30";"2018/4/2";"2018/5/1";"2018/5/8";"2018/7/5";"2018/7/6";"2018/09/28";"2018/11/17";"2018/12/24";"2018/12/25";"2018/12/26"})</f>
        <v>250</v>
      </c>
      <c r="T14" s="262">
        <f t="shared" si="0"/>
        <v>115</v>
      </c>
      <c r="U14" s="262">
        <f t="shared" si="1"/>
        <v>365</v>
      </c>
      <c r="V14" s="263">
        <f t="shared" si="2"/>
        <v>0</v>
      </c>
      <c r="W14" s="264">
        <f t="shared" si="3"/>
        <v>0</v>
      </c>
      <c r="X14" s="265">
        <f t="shared" si="4"/>
        <v>0</v>
      </c>
      <c r="Y14" s="265">
        <f t="shared" si="4"/>
        <v>0</v>
      </c>
    </row>
    <row r="15" spans="1:25" ht="15" x14ac:dyDescent="0.25">
      <c r="A15" s="171" t="s">
        <v>1563</v>
      </c>
      <c r="B15" s="419" t="s">
        <v>54</v>
      </c>
      <c r="C15" s="419"/>
      <c r="D15" s="139">
        <f>VLOOKUP(C15,'Seznam HS - nemaš'!$A$1:$B$96,2,FALSE)</f>
        <v>0</v>
      </c>
      <c r="E15" s="488">
        <v>104</v>
      </c>
      <c r="F15" s="421" t="s">
        <v>336</v>
      </c>
      <c r="G15" s="421"/>
      <c r="H15" s="28">
        <f>+IF(ISBLANK(I15),0,VLOOKUP(I15,'8Příloha_2_ceník_pravid_úklid'!$B$9:$C$30,2,0))</f>
        <v>8</v>
      </c>
      <c r="I15" s="420" t="s">
        <v>11</v>
      </c>
      <c r="J15" s="422">
        <v>19.420000000000002</v>
      </c>
      <c r="K15" s="420" t="s">
        <v>64</v>
      </c>
      <c r="L15" s="423" t="s">
        <v>22</v>
      </c>
      <c r="M15" s="424" t="s">
        <v>49</v>
      </c>
      <c r="N15" s="19">
        <f>IF((VLOOKUP(I15,'8Příloha_2_ceník_pravid_úklid'!$B$9:$I$30,8,0))=0,VLOOKUP(I15,'8Příloha_2_ceník_pravid_úklid'!$B$9:$K$30,10,0),VLOOKUP(I15,'8Příloha_2_ceník_pravid_úklid'!$B$9:$I$30,8,0))</f>
        <v>0</v>
      </c>
      <c r="O15" s="25">
        <v>2</v>
      </c>
      <c r="P15" s="25">
        <v>1</v>
      </c>
      <c r="Q15" s="25">
        <v>2</v>
      </c>
      <c r="R15" s="25">
        <v>1</v>
      </c>
      <c r="S15" s="26">
        <f>NETWORKDAYS.INTL(DATE(2018,1,1),DATE(2018,12,31),1,{"2018/1/1";"2018/3/30";"2018/4/2";"2018/5/1";"2018/5/8";"2018/7/5";"2018/7/6";"2018/09/28";"2018/11/17";"2018/12/24";"2018/12/25";"2018/12/26"})</f>
        <v>250</v>
      </c>
      <c r="T15" s="26">
        <f t="shared" si="0"/>
        <v>115</v>
      </c>
      <c r="U15" s="26">
        <f t="shared" si="1"/>
        <v>365</v>
      </c>
      <c r="V15" s="153">
        <f t="shared" si="2"/>
        <v>730</v>
      </c>
      <c r="W15" s="173">
        <f t="shared" si="3"/>
        <v>0</v>
      </c>
      <c r="X15" s="174">
        <f t="shared" si="4"/>
        <v>0</v>
      </c>
      <c r="Y15" s="141">
        <v>0</v>
      </c>
    </row>
    <row r="16" spans="1:25" ht="15" x14ac:dyDescent="0.25">
      <c r="A16" s="235" t="s">
        <v>1563</v>
      </c>
      <c r="B16" s="437" t="s">
        <v>54</v>
      </c>
      <c r="C16" s="437"/>
      <c r="D16" s="535">
        <f>VLOOKUP(C16,'Seznam HS - nemaš'!$A$1:$B$96,2,FALSE)</f>
        <v>0</v>
      </c>
      <c r="E16" s="444">
        <v>105</v>
      </c>
      <c r="F16" s="439" t="s">
        <v>766</v>
      </c>
      <c r="G16" s="439"/>
      <c r="H16" s="224">
        <f>+IF(ISBLANK(I16),0,VLOOKUP(I16,'8Příloha_2_ceník_pravid_úklid'!$B$9:$C$30,2,0))</f>
        <v>11</v>
      </c>
      <c r="I16" s="438" t="s">
        <v>7</v>
      </c>
      <c r="J16" s="440">
        <v>5.07</v>
      </c>
      <c r="K16" s="438" t="s">
        <v>51</v>
      </c>
      <c r="L16" s="441" t="s">
        <v>387</v>
      </c>
      <c r="M16" s="442"/>
      <c r="N16" s="229" t="s">
        <v>501</v>
      </c>
      <c r="O16" s="230">
        <v>0</v>
      </c>
      <c r="P16" s="230">
        <v>0</v>
      </c>
      <c r="Q16" s="230">
        <v>0</v>
      </c>
      <c r="R16" s="230">
        <v>0</v>
      </c>
      <c r="S16" s="231">
        <f>NETWORKDAYS.INTL(DATE(2018,1,1),DATE(2018,12,31),1,{"2018/1/1";"2018/3/30";"2018/4/2";"2018/5/1";"2018/5/8";"2018/7/5";"2018/7/6";"2018/09/28";"2018/11/17";"2018/12/24";"2018/12/25";"2018/12/26"})</f>
        <v>250</v>
      </c>
      <c r="T16" s="231">
        <f t="shared" si="0"/>
        <v>115</v>
      </c>
      <c r="U16" s="231">
        <f t="shared" si="1"/>
        <v>365</v>
      </c>
      <c r="V16" s="232">
        <f t="shared" si="2"/>
        <v>0</v>
      </c>
      <c r="W16" s="233">
        <f t="shared" si="3"/>
        <v>0</v>
      </c>
      <c r="X16" s="234">
        <f t="shared" si="4"/>
        <v>0</v>
      </c>
      <c r="Y16" s="234">
        <f t="shared" si="4"/>
        <v>0</v>
      </c>
    </row>
    <row r="17" spans="1:25" ht="15" x14ac:dyDescent="0.25">
      <c r="A17" s="138" t="s">
        <v>1563</v>
      </c>
      <c r="B17" s="412" t="s">
        <v>54</v>
      </c>
      <c r="C17" s="412"/>
      <c r="D17" s="139">
        <f>VLOOKUP(C17,'Seznam HS - nemaš'!$A$1:$B$96,2,FALSE)</f>
        <v>0</v>
      </c>
      <c r="E17" s="443">
        <v>103</v>
      </c>
      <c r="F17" s="426" t="s">
        <v>53</v>
      </c>
      <c r="G17" s="426" t="s">
        <v>1568</v>
      </c>
      <c r="H17" s="28">
        <f>+IF(ISBLANK(I17),0,VLOOKUP(I17,'8Příloha_2_ceník_pravid_úklid'!$B$9:$C$30,2,0))</f>
        <v>6</v>
      </c>
      <c r="I17" s="425" t="s">
        <v>1</v>
      </c>
      <c r="J17" s="427">
        <v>29.48</v>
      </c>
      <c r="K17" s="425" t="s">
        <v>50</v>
      </c>
      <c r="L17" s="428" t="s">
        <v>22</v>
      </c>
      <c r="M17" s="429" t="s">
        <v>49</v>
      </c>
      <c r="N17" s="19">
        <f>IF((VLOOKUP(I17,'8Příloha_2_ceník_pravid_úklid'!$B$9:$I$30,8,0))=0,VLOOKUP(I17,'8Příloha_2_ceník_pravid_úklid'!$B$9:$K$30,10,0),VLOOKUP(I17,'8Příloha_2_ceník_pravid_úklid'!$B$9:$I$30,8,0))</f>
        <v>0</v>
      </c>
      <c r="O17" s="20">
        <v>2</v>
      </c>
      <c r="P17" s="20">
        <v>1</v>
      </c>
      <c r="Q17" s="20">
        <v>2</v>
      </c>
      <c r="R17" s="20">
        <v>1</v>
      </c>
      <c r="S17" s="21">
        <f>NETWORKDAYS.INTL(DATE(2018,1,1),DATE(2018,12,31),1,{"2018/1/1";"2018/3/30";"2018/4/2";"2018/5/1";"2018/5/8";"2018/7/5";"2018/7/6";"2018/09/28";"2018/11/17";"2018/12/24";"2018/12/25";"2018/12/26"})</f>
        <v>250</v>
      </c>
      <c r="T17" s="21">
        <f t="shared" si="0"/>
        <v>115</v>
      </c>
      <c r="U17" s="21">
        <f t="shared" si="1"/>
        <v>365</v>
      </c>
      <c r="V17" s="144">
        <f t="shared" si="2"/>
        <v>730</v>
      </c>
      <c r="W17" s="140">
        <f t="shared" si="3"/>
        <v>0</v>
      </c>
      <c r="X17" s="141">
        <f t="shared" si="4"/>
        <v>0</v>
      </c>
      <c r="Y17" s="141">
        <v>0</v>
      </c>
    </row>
    <row r="18" spans="1:25" ht="15" x14ac:dyDescent="0.25">
      <c r="A18" s="138" t="s">
        <v>1563</v>
      </c>
      <c r="B18" s="412" t="s">
        <v>54</v>
      </c>
      <c r="C18" s="412"/>
      <c r="D18" s="139">
        <f>VLOOKUP(C18,'Seznam HS - nemaš'!$A$1:$B$96,2,FALSE)</f>
        <v>0</v>
      </c>
      <c r="E18" s="443">
        <v>102</v>
      </c>
      <c r="F18" s="426" t="s">
        <v>350</v>
      </c>
      <c r="G18" s="426" t="s">
        <v>1569</v>
      </c>
      <c r="H18" s="28">
        <f>+IF(ISBLANK(I18),0,VLOOKUP(I18,'8Příloha_2_ceník_pravid_úklid'!$B$9:$C$30,2,0))</f>
        <v>6</v>
      </c>
      <c r="I18" s="425" t="s">
        <v>1</v>
      </c>
      <c r="J18" s="427">
        <f>12.13+7.44</f>
        <v>19.57</v>
      </c>
      <c r="K18" s="425" t="s">
        <v>50</v>
      </c>
      <c r="L18" s="428" t="s">
        <v>22</v>
      </c>
      <c r="M18" s="429" t="s">
        <v>49</v>
      </c>
      <c r="N18" s="19">
        <f>IF((VLOOKUP(I18,'8Příloha_2_ceník_pravid_úklid'!$B$9:$I$30,8,0))=0,VLOOKUP(I18,'8Příloha_2_ceník_pravid_úklid'!$B$9:$K$30,10,0),VLOOKUP(I18,'8Příloha_2_ceník_pravid_úklid'!$B$9:$I$30,8,0))</f>
        <v>0</v>
      </c>
      <c r="O18" s="20">
        <v>2</v>
      </c>
      <c r="P18" s="20">
        <v>1</v>
      </c>
      <c r="Q18" s="20">
        <v>2</v>
      </c>
      <c r="R18" s="20">
        <v>1</v>
      </c>
      <c r="S18" s="21">
        <f>NETWORKDAYS.INTL(DATE(2018,1,1),DATE(2018,12,31),1,{"2018/1/1";"2018/3/30";"2018/4/2";"2018/5/1";"2018/5/8";"2018/7/5";"2018/7/6";"2018/09/28";"2018/11/17";"2018/12/24";"2018/12/25";"2018/12/26"})</f>
        <v>250</v>
      </c>
      <c r="T18" s="21">
        <f t="shared" si="0"/>
        <v>115</v>
      </c>
      <c r="U18" s="21">
        <f t="shared" si="1"/>
        <v>365</v>
      </c>
      <c r="V18" s="144">
        <f t="shared" si="2"/>
        <v>730</v>
      </c>
      <c r="W18" s="140">
        <f t="shared" si="3"/>
        <v>0</v>
      </c>
      <c r="X18" s="141">
        <f t="shared" si="4"/>
        <v>0</v>
      </c>
      <c r="Y18" s="141">
        <v>0</v>
      </c>
    </row>
    <row r="19" spans="1:25" ht="15" x14ac:dyDescent="0.25">
      <c r="A19" s="138" t="s">
        <v>1570</v>
      </c>
      <c r="B19" s="412" t="s">
        <v>54</v>
      </c>
      <c r="C19" s="412" t="s">
        <v>223</v>
      </c>
      <c r="D19" s="139" t="str">
        <f>VLOOKUP(C19,'Seznam HS - nemaš'!$A$1:$B$96,2,FALSE)</f>
        <v>455400</v>
      </c>
      <c r="E19" s="443">
        <v>158</v>
      </c>
      <c r="F19" s="426" t="s">
        <v>1571</v>
      </c>
      <c r="G19" s="426" t="s">
        <v>1572</v>
      </c>
      <c r="H19" s="28">
        <f>+IF(ISBLANK(I19),0,VLOOKUP(I19,'8Příloha_2_ceník_pravid_úklid'!$B$9:$C$30,2,0))</f>
        <v>4</v>
      </c>
      <c r="I19" s="425" t="s">
        <v>9</v>
      </c>
      <c r="J19" s="427">
        <v>13.12</v>
      </c>
      <c r="K19" s="425" t="s">
        <v>51</v>
      </c>
      <c r="L19" s="445" t="s">
        <v>21</v>
      </c>
      <c r="M19" s="429" t="s">
        <v>49</v>
      </c>
      <c r="N19" s="19">
        <f>IF((VLOOKUP(I19,'8Příloha_2_ceník_pravid_úklid'!$B$9:$I$30,8,0))=0,VLOOKUP(I19,'8Příloha_2_ceník_pravid_úklid'!$B$9:$K$30,10,0),VLOOKUP(I19,'8Příloha_2_ceník_pravid_úklid'!$B$9:$I$30,8,0))</f>
        <v>0</v>
      </c>
      <c r="O19" s="20">
        <v>1</v>
      </c>
      <c r="P19" s="20">
        <v>1</v>
      </c>
      <c r="Q19" s="20">
        <v>0</v>
      </c>
      <c r="R19" s="20">
        <v>0</v>
      </c>
      <c r="S19" s="21">
        <f>NETWORKDAYS.INTL(DATE(2018,1,1),DATE(2018,12,31),1,{"2018/1/1";"2018/3/30";"2018/4/2";"2018/5/1";"2018/5/8";"2018/7/5";"2018/7/6";"2018/09/28";"2018/11/17";"2018/12/24";"2018/12/25";"2018/12/26"})</f>
        <v>250</v>
      </c>
      <c r="T19" s="21">
        <f t="shared" si="0"/>
        <v>115</v>
      </c>
      <c r="U19" s="21">
        <f t="shared" si="1"/>
        <v>365</v>
      </c>
      <c r="V19" s="144">
        <f t="shared" si="2"/>
        <v>250</v>
      </c>
      <c r="W19" s="140">
        <f t="shared" si="3"/>
        <v>0</v>
      </c>
      <c r="X19" s="141">
        <f t="shared" si="4"/>
        <v>0</v>
      </c>
      <c r="Y19" s="141">
        <v>0</v>
      </c>
    </row>
    <row r="20" spans="1:25" ht="15" x14ac:dyDescent="0.25">
      <c r="A20" s="138" t="s">
        <v>69</v>
      </c>
      <c r="B20" s="412" t="s">
        <v>54</v>
      </c>
      <c r="C20" s="412" t="s">
        <v>157</v>
      </c>
      <c r="D20" s="139" t="str">
        <f>VLOOKUP(C20,'Seznam HS - nemaš'!$A$1:$B$96,2,FALSE)</f>
        <v>403400</v>
      </c>
      <c r="E20" s="443">
        <v>159</v>
      </c>
      <c r="F20" s="426" t="s">
        <v>612</v>
      </c>
      <c r="G20" s="426" t="s">
        <v>1573</v>
      </c>
      <c r="H20" s="28">
        <f>+IF(ISBLANK(I20),0,VLOOKUP(I20,'8Příloha_2_ceník_pravid_úklid'!$B$9:$C$30,2,0))</f>
        <v>2</v>
      </c>
      <c r="I20" s="425" t="s">
        <v>2</v>
      </c>
      <c r="J20" s="427">
        <v>18.13</v>
      </c>
      <c r="K20" s="425" t="s">
        <v>51</v>
      </c>
      <c r="L20" s="446" t="s">
        <v>1574</v>
      </c>
      <c r="M20" s="429" t="s">
        <v>49</v>
      </c>
      <c r="N20" s="19">
        <f>IF((VLOOKUP(I20,'8Příloha_2_ceník_pravid_úklid'!$B$9:$I$30,8,0))=0,VLOOKUP(I20,'8Příloha_2_ceník_pravid_úklid'!$B$9:$K$30,10,0),VLOOKUP(I20,'8Příloha_2_ceník_pravid_úklid'!$B$9:$I$30,8,0))</f>
        <v>0</v>
      </c>
      <c r="O20" s="20">
        <v>1</v>
      </c>
      <c r="P20" s="20">
        <f>3/5</f>
        <v>0.6</v>
      </c>
      <c r="Q20" s="20">
        <v>0</v>
      </c>
      <c r="R20" s="20">
        <v>0</v>
      </c>
      <c r="S20" s="21">
        <f>NETWORKDAYS.INTL(DATE(2018,1,1),DATE(2018,12,31),1,{"2018/1/1";"2018/3/30";"2018/4/2";"2018/5/1";"2018/5/8";"2018/7/5";"2018/7/6";"2018/09/28";"2018/11/17";"2018/12/24";"2018/12/25";"2018/12/26"})</f>
        <v>250</v>
      </c>
      <c r="T20" s="21">
        <f t="shared" si="0"/>
        <v>115</v>
      </c>
      <c r="U20" s="21">
        <f t="shared" si="1"/>
        <v>365</v>
      </c>
      <c r="V20" s="144">
        <f t="shared" si="2"/>
        <v>150</v>
      </c>
      <c r="W20" s="140">
        <f t="shared" si="3"/>
        <v>0</v>
      </c>
      <c r="X20" s="141">
        <f t="shared" si="4"/>
        <v>0</v>
      </c>
      <c r="Y20" s="141">
        <v>0</v>
      </c>
    </row>
    <row r="21" spans="1:25" ht="15" x14ac:dyDescent="0.25">
      <c r="A21" s="138" t="s">
        <v>69</v>
      </c>
      <c r="B21" s="412" t="s">
        <v>54</v>
      </c>
      <c r="C21" s="412" t="s">
        <v>213</v>
      </c>
      <c r="D21" s="139" t="str">
        <f>VLOOKUP(C21,'Seznam HS - nemaš'!$A$1:$B$96,2,FALSE)</f>
        <v>450500</v>
      </c>
      <c r="E21" s="443">
        <v>160</v>
      </c>
      <c r="F21" s="426" t="s">
        <v>329</v>
      </c>
      <c r="G21" s="426" t="s">
        <v>1575</v>
      </c>
      <c r="H21" s="28">
        <f>+IF(ISBLANK(I21),0,VLOOKUP(I21,'8Příloha_2_ceník_pravid_úklid'!$B$9:$C$30,2,0))</f>
        <v>4</v>
      </c>
      <c r="I21" s="425" t="s">
        <v>9</v>
      </c>
      <c r="J21" s="427">
        <v>15.79</v>
      </c>
      <c r="K21" s="425" t="s">
        <v>536</v>
      </c>
      <c r="L21" s="446" t="s">
        <v>373</v>
      </c>
      <c r="M21" s="429" t="s">
        <v>49</v>
      </c>
      <c r="N21" s="19">
        <f>IF((VLOOKUP(I21,'8Příloha_2_ceník_pravid_úklid'!$B$9:$I$30,8,0))=0,VLOOKUP(I21,'8Příloha_2_ceník_pravid_úklid'!$B$9:$K$30,10,0),VLOOKUP(I21,'8Příloha_2_ceník_pravid_úklid'!$B$9:$I$30,8,0))</f>
        <v>0</v>
      </c>
      <c r="O21" s="20">
        <v>1</v>
      </c>
      <c r="P21" s="20">
        <f>3/5</f>
        <v>0.6</v>
      </c>
      <c r="Q21" s="20">
        <v>0</v>
      </c>
      <c r="R21" s="20">
        <v>0</v>
      </c>
      <c r="S21" s="21">
        <f>NETWORKDAYS.INTL(DATE(2018,1,1),DATE(2018,12,31),1,{"2018/1/1";"2018/3/30";"2018/4/2";"2018/5/1";"2018/5/8";"2018/7/5";"2018/7/6";"2018/09/28";"2018/11/17";"2018/12/24";"2018/12/25";"2018/12/26"})</f>
        <v>250</v>
      </c>
      <c r="T21" s="21">
        <f t="shared" si="0"/>
        <v>115</v>
      </c>
      <c r="U21" s="21">
        <f t="shared" si="1"/>
        <v>365</v>
      </c>
      <c r="V21" s="144">
        <f t="shared" si="2"/>
        <v>150</v>
      </c>
      <c r="W21" s="140">
        <f t="shared" si="3"/>
        <v>0</v>
      </c>
      <c r="X21" s="141">
        <f t="shared" si="4"/>
        <v>0</v>
      </c>
      <c r="Y21" s="141">
        <v>0</v>
      </c>
    </row>
    <row r="22" spans="1:25" ht="15" x14ac:dyDescent="0.25">
      <c r="A22" s="138" t="s">
        <v>69</v>
      </c>
      <c r="B22" s="412" t="s">
        <v>54</v>
      </c>
      <c r="C22" s="412"/>
      <c r="D22" s="139">
        <f>VLOOKUP(C22,'Seznam HS - nemaš'!$A$1:$B$96,2,FALSE)</f>
        <v>0</v>
      </c>
      <c r="E22" s="443">
        <v>161</v>
      </c>
      <c r="F22" s="426" t="s">
        <v>1312</v>
      </c>
      <c r="G22" s="426" t="s">
        <v>1576</v>
      </c>
      <c r="H22" s="28">
        <f>+IF(ISBLANK(I22),0,VLOOKUP(I22,'8Příloha_2_ceník_pravid_úklid'!$B$9:$C$30,2,0))</f>
        <v>2</v>
      </c>
      <c r="I22" s="425" t="s">
        <v>2</v>
      </c>
      <c r="J22" s="427">
        <v>15.57</v>
      </c>
      <c r="K22" s="425" t="s">
        <v>536</v>
      </c>
      <c r="L22" s="446" t="s">
        <v>332</v>
      </c>
      <c r="M22" s="429" t="s">
        <v>49</v>
      </c>
      <c r="N22" s="19">
        <f>IF((VLOOKUP(I22,'8Příloha_2_ceník_pravid_úklid'!$B$9:$I$30,8,0))=0,VLOOKUP(I22,'8Příloha_2_ceník_pravid_úklid'!$B$9:$K$30,10,0),VLOOKUP(I22,'8Příloha_2_ceník_pravid_úklid'!$B$9:$I$30,8,0))</f>
        <v>0</v>
      </c>
      <c r="O22" s="20">
        <v>1</v>
      </c>
      <c r="P22" s="20">
        <f>1/5</f>
        <v>0.2</v>
      </c>
      <c r="Q22" s="20">
        <v>0</v>
      </c>
      <c r="R22" s="20">
        <v>0</v>
      </c>
      <c r="S22" s="21">
        <f>NETWORKDAYS.INTL(DATE(2018,1,1),DATE(2018,12,31),1,{"2018/1/1";"2018/3/30";"2018/4/2";"2018/5/1";"2018/5/8";"2018/7/5";"2018/7/6";"2018/09/28";"2018/11/17";"2018/12/24";"2018/12/25";"2018/12/26"})</f>
        <v>250</v>
      </c>
      <c r="T22" s="21">
        <f t="shared" si="0"/>
        <v>115</v>
      </c>
      <c r="U22" s="21">
        <f t="shared" si="1"/>
        <v>365</v>
      </c>
      <c r="V22" s="144">
        <f t="shared" si="2"/>
        <v>50</v>
      </c>
      <c r="W22" s="140">
        <f t="shared" si="3"/>
        <v>0</v>
      </c>
      <c r="X22" s="141">
        <f t="shared" si="4"/>
        <v>0</v>
      </c>
      <c r="Y22" s="141">
        <v>0</v>
      </c>
    </row>
    <row r="23" spans="1:25" ht="15" x14ac:dyDescent="0.25">
      <c r="A23" s="138" t="s">
        <v>69</v>
      </c>
      <c r="B23" s="412" t="s">
        <v>54</v>
      </c>
      <c r="C23" s="412"/>
      <c r="D23" s="139">
        <f>VLOOKUP(C23,'Seznam HS - nemaš'!$A$1:$B$96,2,FALSE)</f>
        <v>0</v>
      </c>
      <c r="E23" s="443">
        <v>162</v>
      </c>
      <c r="F23" s="426" t="s">
        <v>383</v>
      </c>
      <c r="G23" s="426" t="s">
        <v>1576</v>
      </c>
      <c r="H23" s="28">
        <f>+IF(ISBLANK(I23),0,VLOOKUP(I23,'8Příloha_2_ceník_pravid_úklid'!$B$9:$C$30,2,0))</f>
        <v>6</v>
      </c>
      <c r="I23" s="425" t="s">
        <v>1</v>
      </c>
      <c r="J23" s="427">
        <v>13.73</v>
      </c>
      <c r="K23" s="425" t="s">
        <v>51</v>
      </c>
      <c r="L23" s="447" t="s">
        <v>338</v>
      </c>
      <c r="M23" s="429" t="s">
        <v>49</v>
      </c>
      <c r="N23" s="19">
        <f>IF((VLOOKUP(I23,'8Příloha_2_ceník_pravid_úklid'!$B$9:$I$30,8,0))=0,VLOOKUP(I23,'8Příloha_2_ceník_pravid_úklid'!$B$9:$K$30,10,0),VLOOKUP(I23,'8Příloha_2_ceník_pravid_úklid'!$B$9:$I$30,8,0))</f>
        <v>0</v>
      </c>
      <c r="O23" s="20">
        <v>1</v>
      </c>
      <c r="P23" s="20">
        <f>2/5</f>
        <v>0.4</v>
      </c>
      <c r="Q23" s="20">
        <v>0</v>
      </c>
      <c r="R23" s="20">
        <v>0</v>
      </c>
      <c r="S23" s="21">
        <f>NETWORKDAYS.INTL(DATE(2018,1,1),DATE(2018,12,31),1,{"2018/1/1";"2018/3/30";"2018/4/2";"2018/5/1";"2018/5/8";"2018/7/5";"2018/7/6";"2018/09/28";"2018/11/17";"2018/12/24";"2018/12/25";"2018/12/26"})</f>
        <v>250</v>
      </c>
      <c r="T23" s="21">
        <f t="shared" si="0"/>
        <v>115</v>
      </c>
      <c r="U23" s="21">
        <f t="shared" si="1"/>
        <v>365</v>
      </c>
      <c r="V23" s="144">
        <f t="shared" si="2"/>
        <v>100</v>
      </c>
      <c r="W23" s="140">
        <f t="shared" si="3"/>
        <v>0</v>
      </c>
      <c r="X23" s="141">
        <f t="shared" si="4"/>
        <v>0</v>
      </c>
      <c r="Y23" s="141">
        <v>0</v>
      </c>
    </row>
    <row r="24" spans="1:25" ht="15" x14ac:dyDescent="0.25">
      <c r="A24" s="138" t="s">
        <v>1570</v>
      </c>
      <c r="B24" s="412" t="s">
        <v>54</v>
      </c>
      <c r="C24" s="412" t="s">
        <v>225</v>
      </c>
      <c r="D24" s="139" t="str">
        <f>VLOOKUP(C24,'Seznam HS - nemaš'!$A$1:$B$96,2,FALSE)</f>
        <v>455500</v>
      </c>
      <c r="E24" s="443">
        <v>163</v>
      </c>
      <c r="F24" s="426" t="s">
        <v>633</v>
      </c>
      <c r="G24" s="426" t="s">
        <v>1565</v>
      </c>
      <c r="H24" s="28">
        <f>+IF(ISBLANK(I24),0,VLOOKUP(I24,'8Příloha_2_ceník_pravid_úklid'!$B$9:$C$30,2,0))</f>
        <v>4</v>
      </c>
      <c r="I24" s="425" t="s">
        <v>9</v>
      </c>
      <c r="J24" s="427">
        <v>10.94</v>
      </c>
      <c r="K24" s="425" t="s">
        <v>50</v>
      </c>
      <c r="L24" s="447" t="s">
        <v>338</v>
      </c>
      <c r="M24" s="429" t="s">
        <v>49</v>
      </c>
      <c r="N24" s="19">
        <f>IF((VLOOKUP(I24,'8Příloha_2_ceník_pravid_úklid'!$B$9:$I$30,8,0))=0,VLOOKUP(I24,'8Příloha_2_ceník_pravid_úklid'!$B$9:$K$30,10,0),VLOOKUP(I24,'8Příloha_2_ceník_pravid_úklid'!$B$9:$I$30,8,0))</f>
        <v>0</v>
      </c>
      <c r="O24" s="20">
        <v>1</v>
      </c>
      <c r="P24" s="20">
        <f>2/5</f>
        <v>0.4</v>
      </c>
      <c r="Q24" s="20">
        <v>0</v>
      </c>
      <c r="R24" s="20">
        <v>0</v>
      </c>
      <c r="S24" s="21">
        <f>NETWORKDAYS.INTL(DATE(2018,1,1),DATE(2018,12,31),1,{"2018/1/1";"2018/3/30";"2018/4/2";"2018/5/1";"2018/5/8";"2018/7/5";"2018/7/6";"2018/09/28";"2018/11/17";"2018/12/24";"2018/12/25";"2018/12/26"})</f>
        <v>250</v>
      </c>
      <c r="T24" s="21">
        <f t="shared" si="0"/>
        <v>115</v>
      </c>
      <c r="U24" s="21">
        <f t="shared" si="1"/>
        <v>365</v>
      </c>
      <c r="V24" s="144">
        <f t="shared" si="2"/>
        <v>100</v>
      </c>
      <c r="W24" s="140">
        <f t="shared" si="3"/>
        <v>0</v>
      </c>
      <c r="X24" s="141">
        <f t="shared" si="4"/>
        <v>0</v>
      </c>
      <c r="Y24" s="141">
        <v>0</v>
      </c>
    </row>
    <row r="25" spans="1:25" ht="15" x14ac:dyDescent="0.25">
      <c r="A25" s="138" t="s">
        <v>69</v>
      </c>
      <c r="B25" s="412" t="s">
        <v>54</v>
      </c>
      <c r="C25" s="412"/>
      <c r="D25" s="139">
        <f>VLOOKUP(C25,'Seznam HS - nemaš'!$A$1:$B$96,2,FALSE)</f>
        <v>0</v>
      </c>
      <c r="E25" s="443">
        <v>154</v>
      </c>
      <c r="F25" s="426" t="s">
        <v>383</v>
      </c>
      <c r="G25" s="426"/>
      <c r="H25" s="28">
        <f>+IF(ISBLANK(I25),0,VLOOKUP(I25,'8Příloha_2_ceník_pravid_úklid'!$B$9:$C$30,2,0))</f>
        <v>6</v>
      </c>
      <c r="I25" s="425" t="s">
        <v>1</v>
      </c>
      <c r="J25" s="427">
        <f>7.34*5.5</f>
        <v>40.369999999999997</v>
      </c>
      <c r="K25" s="425" t="s">
        <v>51</v>
      </c>
      <c r="L25" s="445" t="s">
        <v>21</v>
      </c>
      <c r="M25" s="429" t="s">
        <v>49</v>
      </c>
      <c r="N25" s="19">
        <f>IF((VLOOKUP(I25,'8Příloha_2_ceník_pravid_úklid'!$B$9:$I$30,8,0))=0,VLOOKUP(I25,'8Příloha_2_ceník_pravid_úklid'!$B$9:$K$30,10,0),VLOOKUP(I25,'8Příloha_2_ceník_pravid_úklid'!$B$9:$I$30,8,0))</f>
        <v>0</v>
      </c>
      <c r="O25" s="20">
        <v>1</v>
      </c>
      <c r="P25" s="20">
        <v>1</v>
      </c>
      <c r="Q25" s="20">
        <v>0</v>
      </c>
      <c r="R25" s="20">
        <v>0</v>
      </c>
      <c r="S25" s="21">
        <f>NETWORKDAYS.INTL(DATE(2018,1,1),DATE(2018,12,31),1,{"2018/1/1";"2018/3/30";"2018/4/2";"2018/5/1";"2018/5/8";"2018/7/5";"2018/7/6";"2018/09/28";"2018/11/17";"2018/12/24";"2018/12/25";"2018/12/26"})</f>
        <v>250</v>
      </c>
      <c r="T25" s="21">
        <f t="shared" si="0"/>
        <v>115</v>
      </c>
      <c r="U25" s="21">
        <f t="shared" si="1"/>
        <v>365</v>
      </c>
      <c r="V25" s="144">
        <f t="shared" si="2"/>
        <v>250</v>
      </c>
      <c r="W25" s="140">
        <f t="shared" si="3"/>
        <v>0</v>
      </c>
      <c r="X25" s="141">
        <f t="shared" si="4"/>
        <v>0</v>
      </c>
      <c r="Y25" s="141">
        <v>0</v>
      </c>
    </row>
    <row r="26" spans="1:25" ht="15" x14ac:dyDescent="0.25">
      <c r="A26" s="138" t="s">
        <v>69</v>
      </c>
      <c r="B26" s="412" t="s">
        <v>54</v>
      </c>
      <c r="C26" s="412" t="s">
        <v>69</v>
      </c>
      <c r="D26" s="139" t="str">
        <f>VLOOKUP(C26,'Seznam HS - nemaš'!$A$1:$B$96,2,FALSE)</f>
        <v>403403</v>
      </c>
      <c r="E26" s="443">
        <v>153</v>
      </c>
      <c r="F26" s="426" t="s">
        <v>565</v>
      </c>
      <c r="G26" s="426" t="s">
        <v>548</v>
      </c>
      <c r="H26" s="28">
        <f>+IF(ISBLANK(I26),0,VLOOKUP(I26,'8Příloha_2_ceník_pravid_úklid'!$B$9:$C$30,2,0))</f>
        <v>2</v>
      </c>
      <c r="I26" s="425" t="s">
        <v>2</v>
      </c>
      <c r="J26" s="427">
        <v>14.54</v>
      </c>
      <c r="K26" s="425" t="s">
        <v>51</v>
      </c>
      <c r="L26" s="445" t="s">
        <v>21</v>
      </c>
      <c r="M26" s="429" t="s">
        <v>49</v>
      </c>
      <c r="N26" s="19">
        <f>IF((VLOOKUP(I26,'8Příloha_2_ceník_pravid_úklid'!$B$9:$I$30,8,0))=0,VLOOKUP(I26,'8Příloha_2_ceník_pravid_úklid'!$B$9:$K$30,10,0),VLOOKUP(I26,'8Příloha_2_ceník_pravid_úklid'!$B$9:$I$30,8,0))</f>
        <v>0</v>
      </c>
      <c r="O26" s="20">
        <v>1</v>
      </c>
      <c r="P26" s="20">
        <v>1</v>
      </c>
      <c r="Q26" s="20">
        <v>0</v>
      </c>
      <c r="R26" s="20">
        <v>0</v>
      </c>
      <c r="S26" s="21">
        <f>NETWORKDAYS.INTL(DATE(2018,1,1),DATE(2018,12,31),1,{"2018/1/1";"2018/3/30";"2018/4/2";"2018/5/1";"2018/5/8";"2018/7/5";"2018/7/6";"2018/09/28";"2018/11/17";"2018/12/24";"2018/12/25";"2018/12/26"})</f>
        <v>250</v>
      </c>
      <c r="T26" s="21">
        <f t="shared" si="0"/>
        <v>115</v>
      </c>
      <c r="U26" s="21">
        <f t="shared" si="1"/>
        <v>365</v>
      </c>
      <c r="V26" s="144">
        <f t="shared" si="2"/>
        <v>250</v>
      </c>
      <c r="W26" s="140">
        <f t="shared" si="3"/>
        <v>0</v>
      </c>
      <c r="X26" s="141">
        <f t="shared" si="4"/>
        <v>0</v>
      </c>
      <c r="Y26" s="141">
        <v>0</v>
      </c>
    </row>
    <row r="27" spans="1:25" ht="15" x14ac:dyDescent="0.25">
      <c r="A27" s="138" t="s">
        <v>69</v>
      </c>
      <c r="B27" s="412" t="s">
        <v>54</v>
      </c>
      <c r="C27" s="412" t="s">
        <v>69</v>
      </c>
      <c r="D27" s="139" t="str">
        <f>VLOOKUP(C27,'Seznam HS - nemaš'!$A$1:$B$96,2,FALSE)</f>
        <v>403403</v>
      </c>
      <c r="E27" s="443">
        <v>152</v>
      </c>
      <c r="F27" s="426" t="s">
        <v>565</v>
      </c>
      <c r="G27" s="426"/>
      <c r="H27" s="28">
        <f>+IF(ISBLANK(I27),0,VLOOKUP(I27,'8Příloha_2_ceník_pravid_úklid'!$B$9:$C$30,2,0))</f>
        <v>2</v>
      </c>
      <c r="I27" s="425" t="s">
        <v>2</v>
      </c>
      <c r="J27" s="427">
        <v>15.86</v>
      </c>
      <c r="K27" s="425" t="s">
        <v>51</v>
      </c>
      <c r="L27" s="447" t="s">
        <v>376</v>
      </c>
      <c r="M27" s="429" t="s">
        <v>49</v>
      </c>
      <c r="N27" s="19">
        <f>IF((VLOOKUP(I27,'8Příloha_2_ceník_pravid_úklid'!$B$9:$I$30,8,0))=0,VLOOKUP(I27,'8Příloha_2_ceník_pravid_úklid'!$B$9:$K$30,10,0),VLOOKUP(I27,'8Příloha_2_ceník_pravid_úklid'!$B$9:$I$30,8,0))</f>
        <v>0</v>
      </c>
      <c r="O27" s="20">
        <v>1</v>
      </c>
      <c r="P27" s="20">
        <f>2/5</f>
        <v>0.4</v>
      </c>
      <c r="Q27" s="20">
        <v>0</v>
      </c>
      <c r="R27" s="20">
        <v>0</v>
      </c>
      <c r="S27" s="21">
        <f>NETWORKDAYS.INTL(DATE(2018,1,1),DATE(2018,12,31),1,{"2018/1/1";"2018/3/30";"2018/4/2";"2018/5/1";"2018/5/8";"2018/7/5";"2018/7/6";"2018/09/28";"2018/11/17";"2018/12/24";"2018/12/25";"2018/12/26"})</f>
        <v>250</v>
      </c>
      <c r="T27" s="21">
        <f t="shared" si="0"/>
        <v>115</v>
      </c>
      <c r="U27" s="21">
        <f t="shared" si="1"/>
        <v>365</v>
      </c>
      <c r="V27" s="144">
        <f t="shared" si="2"/>
        <v>100</v>
      </c>
      <c r="W27" s="140">
        <f t="shared" si="3"/>
        <v>0</v>
      </c>
      <c r="X27" s="141">
        <f t="shared" si="4"/>
        <v>0</v>
      </c>
      <c r="Y27" s="141">
        <v>0</v>
      </c>
    </row>
    <row r="28" spans="1:25" ht="15" x14ac:dyDescent="0.25">
      <c r="A28" s="138" t="s">
        <v>69</v>
      </c>
      <c r="B28" s="412" t="s">
        <v>54</v>
      </c>
      <c r="C28" s="412"/>
      <c r="D28" s="139">
        <f>VLOOKUP(C28,'Seznam HS - nemaš'!$A$1:$B$96,2,FALSE)</f>
        <v>0</v>
      </c>
      <c r="E28" s="443">
        <v>145</v>
      </c>
      <c r="F28" s="426" t="s">
        <v>53</v>
      </c>
      <c r="G28" s="426"/>
      <c r="H28" s="28">
        <f>+IF(ISBLANK(I28),0,VLOOKUP(I28,'8Příloha_2_ceník_pravid_úklid'!$B$9:$C$30,2,0))</f>
        <v>6</v>
      </c>
      <c r="I28" s="425" t="s">
        <v>1</v>
      </c>
      <c r="J28" s="427">
        <f>13.72+18.24</f>
        <v>31.96</v>
      </c>
      <c r="K28" s="425" t="s">
        <v>50</v>
      </c>
      <c r="L28" s="445" t="s">
        <v>21</v>
      </c>
      <c r="M28" s="429" t="s">
        <v>49</v>
      </c>
      <c r="N28" s="19">
        <f>IF((VLOOKUP(I28,'8Příloha_2_ceník_pravid_úklid'!$B$9:$I$30,8,0))=0,VLOOKUP(I28,'8Příloha_2_ceník_pravid_úklid'!$B$9:$K$30,10,0),VLOOKUP(I28,'8Příloha_2_ceník_pravid_úklid'!$B$9:$I$30,8,0))</f>
        <v>0</v>
      </c>
      <c r="O28" s="20">
        <v>1</v>
      </c>
      <c r="P28" s="20">
        <v>1</v>
      </c>
      <c r="Q28" s="20">
        <v>0</v>
      </c>
      <c r="R28" s="20">
        <v>0</v>
      </c>
      <c r="S28" s="21">
        <f>NETWORKDAYS.INTL(DATE(2018,1,1),DATE(2018,12,31),1,{"2018/1/1";"2018/3/30";"2018/4/2";"2018/5/1";"2018/5/8";"2018/7/5";"2018/7/6";"2018/09/28";"2018/11/17";"2018/12/24";"2018/12/25";"2018/12/26"})</f>
        <v>250</v>
      </c>
      <c r="T28" s="21">
        <f t="shared" si="0"/>
        <v>115</v>
      </c>
      <c r="U28" s="21">
        <f t="shared" si="1"/>
        <v>365</v>
      </c>
      <c r="V28" s="144">
        <f t="shared" si="2"/>
        <v>250</v>
      </c>
      <c r="W28" s="140">
        <f t="shared" si="3"/>
        <v>0</v>
      </c>
      <c r="X28" s="141">
        <f t="shared" si="4"/>
        <v>0</v>
      </c>
      <c r="Y28" s="141">
        <v>0</v>
      </c>
    </row>
    <row r="29" spans="1:25" ht="15" x14ac:dyDescent="0.25">
      <c r="A29" s="138" t="s">
        <v>69</v>
      </c>
      <c r="B29" s="412" t="s">
        <v>54</v>
      </c>
      <c r="C29" s="412"/>
      <c r="D29" s="139">
        <f>VLOOKUP(C29,'Seznam HS - nemaš'!$A$1:$B$96,2,FALSE)</f>
        <v>0</v>
      </c>
      <c r="E29" s="443">
        <v>151</v>
      </c>
      <c r="F29" s="426" t="s">
        <v>612</v>
      </c>
      <c r="G29" s="426"/>
      <c r="H29" s="28">
        <f>+IF(ISBLANK(I29),0,VLOOKUP(I29,'8Příloha_2_ceník_pravid_úklid'!$B$9:$C$30,2,0))</f>
        <v>2</v>
      </c>
      <c r="I29" s="425" t="s">
        <v>2</v>
      </c>
      <c r="J29" s="427">
        <v>8.82</v>
      </c>
      <c r="K29" s="425" t="s">
        <v>51</v>
      </c>
      <c r="L29" s="447" t="s">
        <v>537</v>
      </c>
      <c r="M29" s="429" t="s">
        <v>49</v>
      </c>
      <c r="N29" s="19">
        <f>IF((VLOOKUP(I29,'8Příloha_2_ceník_pravid_úklid'!$B$9:$I$30,8,0))=0,VLOOKUP(I29,'8Příloha_2_ceník_pravid_úklid'!$B$9:$K$30,10,0),VLOOKUP(I29,'8Příloha_2_ceník_pravid_úklid'!$B$9:$I$30,8,0))</f>
        <v>0</v>
      </c>
      <c r="O29" s="20">
        <v>1</v>
      </c>
      <c r="P29" s="20">
        <v>1</v>
      </c>
      <c r="Q29" s="20">
        <v>1</v>
      </c>
      <c r="R29" s="20">
        <v>1</v>
      </c>
      <c r="S29" s="21">
        <f>NETWORKDAYS.INTL(DATE(2018,1,1),DATE(2018,12,31),1,{"2018/1/1";"2018/3/30";"2018/4/2";"2018/5/1";"2018/5/8";"2018/7/5";"2018/7/6";"2018/09/28";"2018/11/17";"2018/12/24";"2018/12/25";"2018/12/26"})</f>
        <v>250</v>
      </c>
      <c r="T29" s="21">
        <f t="shared" si="0"/>
        <v>115</v>
      </c>
      <c r="U29" s="21">
        <f t="shared" si="1"/>
        <v>365</v>
      </c>
      <c r="V29" s="144">
        <f t="shared" si="2"/>
        <v>365</v>
      </c>
      <c r="W29" s="140">
        <f t="shared" si="3"/>
        <v>0</v>
      </c>
      <c r="X29" s="141">
        <f t="shared" si="4"/>
        <v>0</v>
      </c>
      <c r="Y29" s="141">
        <v>0</v>
      </c>
    </row>
    <row r="30" spans="1:25" ht="15" x14ac:dyDescent="0.25">
      <c r="A30" s="138" t="s">
        <v>69</v>
      </c>
      <c r="B30" s="412" t="s">
        <v>54</v>
      </c>
      <c r="C30" s="412"/>
      <c r="D30" s="139">
        <f>VLOOKUP(C30,'Seznam HS - nemaš'!$A$1:$B$96,2,FALSE)</f>
        <v>0</v>
      </c>
      <c r="E30" s="443">
        <v>150</v>
      </c>
      <c r="F30" s="426" t="s">
        <v>1577</v>
      </c>
      <c r="G30" s="426"/>
      <c r="H30" s="28">
        <f>+IF(ISBLANK(I30),0,VLOOKUP(I30,'8Příloha_2_ceník_pravid_úklid'!$B$9:$C$30,2,0))</f>
        <v>2</v>
      </c>
      <c r="I30" s="425" t="s">
        <v>2</v>
      </c>
      <c r="J30" s="427">
        <v>9.07</v>
      </c>
      <c r="K30" s="425" t="s">
        <v>51</v>
      </c>
      <c r="L30" s="447" t="s">
        <v>537</v>
      </c>
      <c r="M30" s="429" t="s">
        <v>49</v>
      </c>
      <c r="N30" s="19">
        <f>IF((VLOOKUP(I30,'8Příloha_2_ceník_pravid_úklid'!$B$9:$I$30,8,0))=0,VLOOKUP(I30,'8Příloha_2_ceník_pravid_úklid'!$B$9:$K$30,10,0),VLOOKUP(I30,'8Příloha_2_ceník_pravid_úklid'!$B$9:$I$30,8,0))</f>
        <v>0</v>
      </c>
      <c r="O30" s="20">
        <v>1</v>
      </c>
      <c r="P30" s="20">
        <v>1</v>
      </c>
      <c r="Q30" s="20">
        <v>1</v>
      </c>
      <c r="R30" s="20">
        <v>1</v>
      </c>
      <c r="S30" s="21">
        <f>NETWORKDAYS.INTL(DATE(2018,1,1),DATE(2018,12,31),1,{"2018/1/1";"2018/3/30";"2018/4/2";"2018/5/1";"2018/5/8";"2018/7/5";"2018/7/6";"2018/09/28";"2018/11/17";"2018/12/24";"2018/12/25";"2018/12/26"})</f>
        <v>250</v>
      </c>
      <c r="T30" s="21">
        <f t="shared" si="0"/>
        <v>115</v>
      </c>
      <c r="U30" s="21">
        <f t="shared" si="1"/>
        <v>365</v>
      </c>
      <c r="V30" s="144">
        <f t="shared" si="2"/>
        <v>365</v>
      </c>
      <c r="W30" s="140">
        <f t="shared" si="3"/>
        <v>0</v>
      </c>
      <c r="X30" s="141">
        <f t="shared" si="4"/>
        <v>0</v>
      </c>
      <c r="Y30" s="141">
        <v>0</v>
      </c>
    </row>
    <row r="31" spans="1:25" ht="15" x14ac:dyDescent="0.25">
      <c r="A31" s="138" t="s">
        <v>69</v>
      </c>
      <c r="B31" s="412" t="s">
        <v>54</v>
      </c>
      <c r="C31" s="412"/>
      <c r="D31" s="139">
        <f>VLOOKUP(C31,'Seznam HS - nemaš'!$A$1:$B$96,2,FALSE)</f>
        <v>0</v>
      </c>
      <c r="E31" s="443">
        <v>146</v>
      </c>
      <c r="F31" s="426" t="s">
        <v>437</v>
      </c>
      <c r="G31" s="426" t="s">
        <v>444</v>
      </c>
      <c r="H31" s="28">
        <f>+IF(ISBLANK(I31),0,VLOOKUP(I31,'8Příloha_2_ceník_pravid_úklid'!$B$9:$C$30,2,0))</f>
        <v>7</v>
      </c>
      <c r="I31" s="425" t="s">
        <v>14</v>
      </c>
      <c r="J31" s="427">
        <f>3.15*1.02</f>
        <v>3.2130000000000001</v>
      </c>
      <c r="K31" s="425" t="s">
        <v>50</v>
      </c>
      <c r="L31" s="447" t="s">
        <v>537</v>
      </c>
      <c r="M31" s="429" t="s">
        <v>49</v>
      </c>
      <c r="N31" s="19">
        <f>IF((VLOOKUP(I31,'8Příloha_2_ceník_pravid_úklid'!$B$9:$I$30,8,0))=0,VLOOKUP(I31,'8Příloha_2_ceník_pravid_úklid'!$B$9:$K$30,10,0),VLOOKUP(I31,'8Příloha_2_ceník_pravid_úklid'!$B$9:$I$30,8,0))</f>
        <v>0</v>
      </c>
      <c r="O31" s="20">
        <v>1</v>
      </c>
      <c r="P31" s="20">
        <v>1</v>
      </c>
      <c r="Q31" s="20">
        <v>1</v>
      </c>
      <c r="R31" s="20">
        <v>1</v>
      </c>
      <c r="S31" s="21">
        <f>NETWORKDAYS.INTL(DATE(2018,1,1),DATE(2018,12,31),1,{"2018/1/1";"2018/3/30";"2018/4/2";"2018/5/1";"2018/5/8";"2018/7/5";"2018/7/6";"2018/09/28";"2018/11/17";"2018/12/24";"2018/12/25";"2018/12/26"})</f>
        <v>250</v>
      </c>
      <c r="T31" s="21">
        <f t="shared" si="0"/>
        <v>115</v>
      </c>
      <c r="U31" s="21">
        <f t="shared" si="1"/>
        <v>365</v>
      </c>
      <c r="V31" s="144">
        <f t="shared" si="2"/>
        <v>365</v>
      </c>
      <c r="W31" s="140">
        <f t="shared" si="3"/>
        <v>0</v>
      </c>
      <c r="X31" s="141">
        <f t="shared" si="4"/>
        <v>0</v>
      </c>
      <c r="Y31" s="141">
        <v>0</v>
      </c>
    </row>
    <row r="32" spans="1:25" ht="15" x14ac:dyDescent="0.25">
      <c r="A32" s="138" t="s">
        <v>69</v>
      </c>
      <c r="B32" s="412" t="s">
        <v>54</v>
      </c>
      <c r="C32" s="412"/>
      <c r="D32" s="139">
        <f>VLOOKUP(C32,'Seznam HS - nemaš'!$A$1:$B$96,2,FALSE)</f>
        <v>0</v>
      </c>
      <c r="E32" s="443">
        <v>147</v>
      </c>
      <c r="F32" s="426" t="s">
        <v>554</v>
      </c>
      <c r="G32" s="426"/>
      <c r="H32" s="28">
        <f>+IF(ISBLANK(I32),0,VLOOKUP(I32,'8Příloha_2_ceník_pravid_úklid'!$B$9:$C$30,2,0))</f>
        <v>7</v>
      </c>
      <c r="I32" s="425" t="s">
        <v>14</v>
      </c>
      <c r="J32" s="427">
        <f>1.45*1.24</f>
        <v>1.798</v>
      </c>
      <c r="K32" s="425" t="s">
        <v>50</v>
      </c>
      <c r="L32" s="447" t="s">
        <v>537</v>
      </c>
      <c r="M32" s="429" t="s">
        <v>49</v>
      </c>
      <c r="N32" s="19">
        <f>IF((VLOOKUP(I32,'8Příloha_2_ceník_pravid_úklid'!$B$9:$I$30,8,0))=0,VLOOKUP(I32,'8Příloha_2_ceník_pravid_úklid'!$B$9:$K$30,10,0),VLOOKUP(I32,'8Příloha_2_ceník_pravid_úklid'!$B$9:$I$30,8,0))</f>
        <v>0</v>
      </c>
      <c r="O32" s="20">
        <v>1</v>
      </c>
      <c r="P32" s="20">
        <v>1</v>
      </c>
      <c r="Q32" s="20">
        <v>1</v>
      </c>
      <c r="R32" s="20">
        <v>1</v>
      </c>
      <c r="S32" s="21">
        <f>NETWORKDAYS.INTL(DATE(2018,1,1),DATE(2018,12,31),1,{"2018/1/1";"2018/3/30";"2018/4/2";"2018/5/1";"2018/5/8";"2018/7/5";"2018/7/6";"2018/09/28";"2018/11/17";"2018/12/24";"2018/12/25";"2018/12/26"})</f>
        <v>250</v>
      </c>
      <c r="T32" s="21">
        <f t="shared" si="0"/>
        <v>115</v>
      </c>
      <c r="U32" s="21">
        <f t="shared" si="1"/>
        <v>365</v>
      </c>
      <c r="V32" s="144">
        <f t="shared" si="2"/>
        <v>365</v>
      </c>
      <c r="W32" s="140">
        <f t="shared" si="3"/>
        <v>0</v>
      </c>
      <c r="X32" s="141">
        <f t="shared" si="4"/>
        <v>0</v>
      </c>
      <c r="Y32" s="141">
        <v>0</v>
      </c>
    </row>
    <row r="33" spans="1:25" ht="15" x14ac:dyDescent="0.25">
      <c r="A33" s="138" t="s">
        <v>69</v>
      </c>
      <c r="B33" s="412" t="s">
        <v>54</v>
      </c>
      <c r="C33" s="412"/>
      <c r="D33" s="139">
        <f>VLOOKUP(C33,'Seznam HS - nemaš'!$A$1:$B$96,2,FALSE)</f>
        <v>0</v>
      </c>
      <c r="E33" s="443">
        <v>148</v>
      </c>
      <c r="F33" s="426" t="s">
        <v>437</v>
      </c>
      <c r="G33" s="426"/>
      <c r="H33" s="28">
        <f>+IF(ISBLANK(I33),0,VLOOKUP(I33,'8Příloha_2_ceník_pravid_úklid'!$B$9:$C$30,2,0))</f>
        <v>7</v>
      </c>
      <c r="I33" s="425" t="s">
        <v>14</v>
      </c>
      <c r="J33" s="427">
        <f>1.45*0.85</f>
        <v>1.2324999999999999</v>
      </c>
      <c r="K33" s="425" t="s">
        <v>50</v>
      </c>
      <c r="L33" s="447" t="s">
        <v>537</v>
      </c>
      <c r="M33" s="429" t="s">
        <v>49</v>
      </c>
      <c r="N33" s="19">
        <f>IF((VLOOKUP(I33,'8Příloha_2_ceník_pravid_úklid'!$B$9:$I$30,8,0))=0,VLOOKUP(I33,'8Příloha_2_ceník_pravid_úklid'!$B$9:$K$30,10,0),VLOOKUP(I33,'8Příloha_2_ceník_pravid_úklid'!$B$9:$I$30,8,0))</f>
        <v>0</v>
      </c>
      <c r="O33" s="20">
        <v>1</v>
      </c>
      <c r="P33" s="20">
        <v>1</v>
      </c>
      <c r="Q33" s="20">
        <v>1</v>
      </c>
      <c r="R33" s="20">
        <v>1</v>
      </c>
      <c r="S33" s="21">
        <f>NETWORKDAYS.INTL(DATE(2018,1,1),DATE(2018,12,31),1,{"2018/1/1";"2018/3/30";"2018/4/2";"2018/5/1";"2018/5/8";"2018/7/5";"2018/7/6";"2018/09/28";"2018/11/17";"2018/12/24";"2018/12/25";"2018/12/26"})</f>
        <v>250</v>
      </c>
      <c r="T33" s="21">
        <f t="shared" si="0"/>
        <v>115</v>
      </c>
      <c r="U33" s="21">
        <f t="shared" si="1"/>
        <v>365</v>
      </c>
      <c r="V33" s="144">
        <f t="shared" si="2"/>
        <v>365</v>
      </c>
      <c r="W33" s="140">
        <f t="shared" si="3"/>
        <v>0</v>
      </c>
      <c r="X33" s="141">
        <f t="shared" si="4"/>
        <v>0</v>
      </c>
      <c r="Y33" s="141">
        <v>0</v>
      </c>
    </row>
    <row r="34" spans="1:25" ht="15" x14ac:dyDescent="0.25">
      <c r="A34" s="138" t="s">
        <v>69</v>
      </c>
      <c r="B34" s="412" t="s">
        <v>54</v>
      </c>
      <c r="C34" s="412"/>
      <c r="D34" s="139">
        <f>VLOOKUP(C34,'Seznam HS - nemaš'!$A$1:$B$96,2,FALSE)</f>
        <v>0</v>
      </c>
      <c r="E34" s="443">
        <v>149</v>
      </c>
      <c r="F34" s="426" t="s">
        <v>437</v>
      </c>
      <c r="G34" s="426"/>
      <c r="H34" s="28">
        <f>+IF(ISBLANK(I34),0,VLOOKUP(I34,'8Příloha_2_ceník_pravid_úklid'!$B$9:$C$30,2,0))</f>
        <v>7</v>
      </c>
      <c r="I34" s="425" t="s">
        <v>14</v>
      </c>
      <c r="J34" s="427">
        <f>1.45*0.85</f>
        <v>1.2324999999999999</v>
      </c>
      <c r="K34" s="425" t="s">
        <v>50</v>
      </c>
      <c r="L34" s="447" t="s">
        <v>537</v>
      </c>
      <c r="M34" s="429" t="s">
        <v>49</v>
      </c>
      <c r="N34" s="19">
        <f>IF((VLOOKUP(I34,'8Příloha_2_ceník_pravid_úklid'!$B$9:$I$30,8,0))=0,VLOOKUP(I34,'8Příloha_2_ceník_pravid_úklid'!$B$9:$K$30,10,0),VLOOKUP(I34,'8Příloha_2_ceník_pravid_úklid'!$B$9:$I$30,8,0))</f>
        <v>0</v>
      </c>
      <c r="O34" s="20">
        <v>1</v>
      </c>
      <c r="P34" s="20">
        <v>1</v>
      </c>
      <c r="Q34" s="20">
        <v>1</v>
      </c>
      <c r="R34" s="20">
        <v>1</v>
      </c>
      <c r="S34" s="21">
        <f>NETWORKDAYS.INTL(DATE(2018,1,1),DATE(2018,12,31),1,{"2018/1/1";"2018/3/30";"2018/4/2";"2018/5/1";"2018/5/8";"2018/7/5";"2018/7/6";"2018/09/28";"2018/11/17";"2018/12/24";"2018/12/25";"2018/12/26"})</f>
        <v>250</v>
      </c>
      <c r="T34" s="21">
        <f t="shared" si="0"/>
        <v>115</v>
      </c>
      <c r="U34" s="21">
        <f t="shared" si="1"/>
        <v>365</v>
      </c>
      <c r="V34" s="144">
        <f t="shared" si="2"/>
        <v>365</v>
      </c>
      <c r="W34" s="140">
        <f t="shared" si="3"/>
        <v>0</v>
      </c>
      <c r="X34" s="141">
        <f t="shared" si="4"/>
        <v>0</v>
      </c>
      <c r="Y34" s="141">
        <v>0</v>
      </c>
    </row>
    <row r="35" spans="1:25" ht="15" x14ac:dyDescent="0.25">
      <c r="A35" s="138" t="s">
        <v>1570</v>
      </c>
      <c r="B35" s="412" t="s">
        <v>54</v>
      </c>
      <c r="C35" s="412"/>
      <c r="D35" s="139">
        <f>VLOOKUP(C35,'Seznam HS - nemaš'!$A$1:$B$96,2,FALSE)</f>
        <v>0</v>
      </c>
      <c r="E35" s="443">
        <v>155</v>
      </c>
      <c r="F35" s="426" t="s">
        <v>383</v>
      </c>
      <c r="G35" s="426" t="s">
        <v>1578</v>
      </c>
      <c r="H35" s="28">
        <f>+IF(ISBLANK(I35),0,VLOOKUP(I35,'8Příloha_2_ceník_pravid_úklid'!$B$9:$C$30,2,0))</f>
        <v>6</v>
      </c>
      <c r="I35" s="425" t="s">
        <v>1</v>
      </c>
      <c r="J35" s="427">
        <v>11.67</v>
      </c>
      <c r="K35" s="425" t="s">
        <v>52</v>
      </c>
      <c r="L35" s="448" t="s">
        <v>21</v>
      </c>
      <c r="M35" s="429" t="s">
        <v>49</v>
      </c>
      <c r="N35" s="19">
        <f>IF((VLOOKUP(I35,'8Příloha_2_ceník_pravid_úklid'!$B$9:$I$30,8,0))=0,VLOOKUP(I35,'8Příloha_2_ceník_pravid_úklid'!$B$9:$K$30,10,0),VLOOKUP(I35,'8Příloha_2_ceník_pravid_úklid'!$B$9:$I$30,8,0))</f>
        <v>0</v>
      </c>
      <c r="O35" s="20">
        <v>1</v>
      </c>
      <c r="P35" s="20">
        <v>1</v>
      </c>
      <c r="Q35" s="20">
        <v>0</v>
      </c>
      <c r="R35" s="20">
        <v>0</v>
      </c>
      <c r="S35" s="21">
        <f>NETWORKDAYS.INTL(DATE(2018,1,1),DATE(2018,12,31),1,{"2018/1/1";"2018/3/30";"2018/4/2";"2018/5/1";"2018/5/8";"2018/7/5";"2018/7/6";"2018/09/28";"2018/11/17";"2018/12/24";"2018/12/25";"2018/12/26"})</f>
        <v>250</v>
      </c>
      <c r="T35" s="21">
        <f t="shared" si="0"/>
        <v>115</v>
      </c>
      <c r="U35" s="21">
        <f t="shared" si="1"/>
        <v>365</v>
      </c>
      <c r="V35" s="144">
        <f t="shared" si="2"/>
        <v>250</v>
      </c>
      <c r="W35" s="140">
        <f t="shared" si="3"/>
        <v>0</v>
      </c>
      <c r="X35" s="141">
        <f t="shared" si="4"/>
        <v>0</v>
      </c>
      <c r="Y35" s="141">
        <v>0</v>
      </c>
    </row>
    <row r="36" spans="1:25" ht="15" x14ac:dyDescent="0.25">
      <c r="A36" s="138" t="s">
        <v>1570</v>
      </c>
      <c r="B36" s="412" t="s">
        <v>54</v>
      </c>
      <c r="C36" s="412"/>
      <c r="D36" s="139">
        <f>VLOOKUP(C36,'Seznam HS - nemaš'!$A$1:$B$96,2,FALSE)</f>
        <v>0</v>
      </c>
      <c r="E36" s="443">
        <v>157</v>
      </c>
      <c r="F36" s="426" t="s">
        <v>1579</v>
      </c>
      <c r="G36" s="426" t="s">
        <v>1578</v>
      </c>
      <c r="H36" s="28">
        <f>+IF(ISBLANK(I36),0,VLOOKUP(I36,'8Příloha_2_ceník_pravid_úklid'!$B$9:$C$30,2,0))</f>
        <v>7</v>
      </c>
      <c r="I36" s="425" t="s">
        <v>14</v>
      </c>
      <c r="J36" s="427">
        <v>2.4700000000000002</v>
      </c>
      <c r="K36" s="425" t="s">
        <v>50</v>
      </c>
      <c r="L36" s="448" t="s">
        <v>21</v>
      </c>
      <c r="M36" s="429" t="s">
        <v>49</v>
      </c>
      <c r="N36" s="19">
        <f>IF((VLOOKUP(I36,'8Příloha_2_ceník_pravid_úklid'!$B$9:$I$30,8,0))=0,VLOOKUP(I36,'8Příloha_2_ceník_pravid_úklid'!$B$9:$K$30,10,0),VLOOKUP(I36,'8Příloha_2_ceník_pravid_úklid'!$B$9:$I$30,8,0))</f>
        <v>0</v>
      </c>
      <c r="O36" s="20">
        <v>1</v>
      </c>
      <c r="P36" s="20">
        <v>1</v>
      </c>
      <c r="Q36" s="20">
        <v>0</v>
      </c>
      <c r="R36" s="20">
        <v>0</v>
      </c>
      <c r="S36" s="21">
        <f>NETWORKDAYS.INTL(DATE(2018,1,1),DATE(2018,12,31),1,{"2018/1/1";"2018/3/30";"2018/4/2";"2018/5/1";"2018/5/8";"2018/7/5";"2018/7/6";"2018/09/28";"2018/11/17";"2018/12/24";"2018/12/25";"2018/12/26"})</f>
        <v>250</v>
      </c>
      <c r="T36" s="21">
        <f t="shared" si="0"/>
        <v>115</v>
      </c>
      <c r="U36" s="21">
        <f t="shared" si="1"/>
        <v>365</v>
      </c>
      <c r="V36" s="144">
        <f t="shared" si="2"/>
        <v>250</v>
      </c>
      <c r="W36" s="140">
        <f t="shared" si="3"/>
        <v>0</v>
      </c>
      <c r="X36" s="141">
        <f t="shared" si="4"/>
        <v>0</v>
      </c>
      <c r="Y36" s="141">
        <v>0</v>
      </c>
    </row>
    <row r="37" spans="1:25" ht="15" x14ac:dyDescent="0.25">
      <c r="A37" s="138" t="s">
        <v>1570</v>
      </c>
      <c r="B37" s="412" t="s">
        <v>54</v>
      </c>
      <c r="C37" s="412"/>
      <c r="D37" s="139">
        <f>VLOOKUP(C37,'Seznam HS - nemaš'!$A$1:$B$96,2,FALSE)</f>
        <v>0</v>
      </c>
      <c r="E37" s="443">
        <v>156</v>
      </c>
      <c r="F37" s="426" t="s">
        <v>489</v>
      </c>
      <c r="G37" s="426"/>
      <c r="H37" s="28">
        <f>+IF(ISBLANK(I37),0,VLOOKUP(I37,'8Příloha_2_ceník_pravid_úklid'!$B$9:$C$30,2,0))</f>
        <v>3</v>
      </c>
      <c r="I37" s="425" t="s">
        <v>3</v>
      </c>
      <c r="J37" s="427">
        <v>18.18</v>
      </c>
      <c r="K37" s="425" t="s">
        <v>51</v>
      </c>
      <c r="L37" s="428" t="s">
        <v>65</v>
      </c>
      <c r="M37" s="429" t="s">
        <v>49</v>
      </c>
      <c r="N37" s="19">
        <f>IF((VLOOKUP(I37,'8Příloha_2_ceník_pravid_úklid'!$B$9:$I$30,8,0))=0,VLOOKUP(I37,'8Příloha_2_ceník_pravid_úklid'!$B$9:$K$30,10,0),VLOOKUP(I37,'8Příloha_2_ceník_pravid_úklid'!$B$9:$I$30,8,0))</f>
        <v>0</v>
      </c>
      <c r="O37" s="20">
        <v>2</v>
      </c>
      <c r="P37" s="20">
        <v>1</v>
      </c>
      <c r="Q37" s="20">
        <v>0</v>
      </c>
      <c r="R37" s="20">
        <v>0</v>
      </c>
      <c r="S37" s="21">
        <f>NETWORKDAYS.INTL(DATE(2018,1,1),DATE(2018,12,31),1,{"2018/1/1";"2018/3/30";"2018/4/2";"2018/5/1";"2018/5/8";"2018/7/5";"2018/7/6";"2018/09/28";"2018/11/17";"2018/12/24";"2018/12/25";"2018/12/26"})</f>
        <v>250</v>
      </c>
      <c r="T37" s="21">
        <f t="shared" si="0"/>
        <v>115</v>
      </c>
      <c r="U37" s="21">
        <f t="shared" si="1"/>
        <v>365</v>
      </c>
      <c r="V37" s="144">
        <f t="shared" si="2"/>
        <v>500</v>
      </c>
      <c r="W37" s="140">
        <f t="shared" si="3"/>
        <v>0</v>
      </c>
      <c r="X37" s="141">
        <f t="shared" si="4"/>
        <v>0</v>
      </c>
      <c r="Y37" s="141">
        <v>0</v>
      </c>
    </row>
    <row r="38" spans="1:25" ht="15" x14ac:dyDescent="0.25">
      <c r="A38" s="138" t="s">
        <v>1570</v>
      </c>
      <c r="B38" s="412" t="s">
        <v>54</v>
      </c>
      <c r="C38" s="412" t="s">
        <v>223</v>
      </c>
      <c r="D38" s="139" t="str">
        <f>VLOOKUP(C38,'Seznam HS - nemaš'!$A$1:$B$96,2,FALSE)</f>
        <v>455400</v>
      </c>
      <c r="E38" s="443">
        <v>129</v>
      </c>
      <c r="F38" s="426" t="s">
        <v>397</v>
      </c>
      <c r="G38" s="426"/>
      <c r="H38" s="28">
        <f>+IF(ISBLANK(I38),0,VLOOKUP(I38,'8Příloha_2_ceník_pravid_úklid'!$B$9:$C$30,2,0))</f>
        <v>6</v>
      </c>
      <c r="I38" s="425" t="s">
        <v>1</v>
      </c>
      <c r="J38" s="427">
        <v>6.1</v>
      </c>
      <c r="K38" s="425" t="s">
        <v>50</v>
      </c>
      <c r="L38" s="428" t="s">
        <v>65</v>
      </c>
      <c r="M38" s="429" t="s">
        <v>49</v>
      </c>
      <c r="N38" s="19">
        <f>IF((VLOOKUP(I38,'8Příloha_2_ceník_pravid_úklid'!$B$9:$I$30,8,0))=0,VLOOKUP(I38,'8Příloha_2_ceník_pravid_úklid'!$B$9:$K$30,10,0),VLOOKUP(I38,'8Příloha_2_ceník_pravid_úklid'!$B$9:$I$30,8,0))</f>
        <v>0</v>
      </c>
      <c r="O38" s="20">
        <v>2</v>
      </c>
      <c r="P38" s="20">
        <v>1</v>
      </c>
      <c r="Q38" s="20">
        <v>0</v>
      </c>
      <c r="R38" s="20">
        <v>0</v>
      </c>
      <c r="S38" s="21">
        <f>NETWORKDAYS.INTL(DATE(2018,1,1),DATE(2018,12,31),1,{"2018/1/1";"2018/3/30";"2018/4/2";"2018/5/1";"2018/5/8";"2018/7/5";"2018/7/6";"2018/09/28";"2018/11/17";"2018/12/24";"2018/12/25";"2018/12/26"})</f>
        <v>250</v>
      </c>
      <c r="T38" s="21">
        <f t="shared" si="0"/>
        <v>115</v>
      </c>
      <c r="U38" s="21">
        <f t="shared" si="1"/>
        <v>365</v>
      </c>
      <c r="V38" s="144">
        <f t="shared" si="2"/>
        <v>500</v>
      </c>
      <c r="W38" s="140">
        <f t="shared" si="3"/>
        <v>0</v>
      </c>
      <c r="X38" s="141">
        <f t="shared" si="4"/>
        <v>0</v>
      </c>
      <c r="Y38" s="141">
        <v>0</v>
      </c>
    </row>
    <row r="39" spans="1:25" ht="15" x14ac:dyDescent="0.25">
      <c r="A39" s="138" t="s">
        <v>1570</v>
      </c>
      <c r="B39" s="412" t="s">
        <v>54</v>
      </c>
      <c r="C39" s="412" t="s">
        <v>223</v>
      </c>
      <c r="D39" s="139" t="str">
        <f>VLOOKUP(C39,'Seznam HS - nemaš'!$A$1:$B$96,2,FALSE)</f>
        <v>455400</v>
      </c>
      <c r="E39" s="443">
        <v>127</v>
      </c>
      <c r="F39" s="426" t="s">
        <v>400</v>
      </c>
      <c r="G39" s="426" t="s">
        <v>1580</v>
      </c>
      <c r="H39" s="28">
        <f>+IF(ISBLANK(I39),0,VLOOKUP(I39,'8Příloha_2_ceník_pravid_úklid'!$B$9:$C$30,2,0))</f>
        <v>4</v>
      </c>
      <c r="I39" s="425" t="s">
        <v>9</v>
      </c>
      <c r="J39" s="427">
        <v>29.9</v>
      </c>
      <c r="K39" s="425" t="s">
        <v>50</v>
      </c>
      <c r="L39" s="428" t="s">
        <v>65</v>
      </c>
      <c r="M39" s="429" t="s">
        <v>49</v>
      </c>
      <c r="N39" s="19">
        <f>IF((VLOOKUP(I39,'8Příloha_2_ceník_pravid_úklid'!$B$9:$I$30,8,0))=0,VLOOKUP(I39,'8Příloha_2_ceník_pravid_úklid'!$B$9:$K$30,10,0),VLOOKUP(I39,'8Příloha_2_ceník_pravid_úklid'!$B$9:$I$30,8,0))</f>
        <v>0</v>
      </c>
      <c r="O39" s="20">
        <v>2</v>
      </c>
      <c r="P39" s="20">
        <v>1</v>
      </c>
      <c r="Q39" s="20">
        <v>0</v>
      </c>
      <c r="R39" s="20">
        <v>0</v>
      </c>
      <c r="S39" s="21">
        <f>NETWORKDAYS.INTL(DATE(2018,1,1),DATE(2018,12,31),1,{"2018/1/1";"2018/3/30";"2018/4/2";"2018/5/1";"2018/5/8";"2018/7/5";"2018/7/6";"2018/09/28";"2018/11/17";"2018/12/24";"2018/12/25";"2018/12/26"})</f>
        <v>250</v>
      </c>
      <c r="T39" s="21">
        <f t="shared" si="0"/>
        <v>115</v>
      </c>
      <c r="U39" s="21">
        <f t="shared" si="1"/>
        <v>365</v>
      </c>
      <c r="V39" s="144">
        <f t="shared" si="2"/>
        <v>500</v>
      </c>
      <c r="W39" s="140">
        <f t="shared" si="3"/>
        <v>0</v>
      </c>
      <c r="X39" s="141">
        <f t="shared" si="4"/>
        <v>0</v>
      </c>
      <c r="Y39" s="141">
        <v>0</v>
      </c>
    </row>
    <row r="40" spans="1:25" ht="15" x14ac:dyDescent="0.25">
      <c r="A40" s="138" t="s">
        <v>1570</v>
      </c>
      <c r="B40" s="412" t="s">
        <v>54</v>
      </c>
      <c r="C40" s="412" t="s">
        <v>223</v>
      </c>
      <c r="D40" s="139" t="str">
        <f>VLOOKUP(C40,'Seznam HS - nemaš'!$A$1:$B$96,2,FALSE)</f>
        <v>455400</v>
      </c>
      <c r="E40" s="443">
        <v>128</v>
      </c>
      <c r="F40" s="426" t="s">
        <v>552</v>
      </c>
      <c r="G40" s="426" t="s">
        <v>1581</v>
      </c>
      <c r="H40" s="28">
        <f>+IF(ISBLANK(I40),0,VLOOKUP(I40,'8Příloha_2_ceník_pravid_úklid'!$B$9:$C$30,2,0))</f>
        <v>16</v>
      </c>
      <c r="I40" s="425" t="s">
        <v>6</v>
      </c>
      <c r="J40" s="427">
        <v>6</v>
      </c>
      <c r="K40" s="425" t="s">
        <v>50</v>
      </c>
      <c r="L40" s="428" t="s">
        <v>65</v>
      </c>
      <c r="M40" s="429" t="s">
        <v>49</v>
      </c>
      <c r="N40" s="19">
        <f>IF((VLOOKUP(I40,'8Příloha_2_ceník_pravid_úklid'!$B$9:$I$30,8,0))=0,VLOOKUP(I40,'8Příloha_2_ceník_pravid_úklid'!$B$9:$K$30,10,0),VLOOKUP(I40,'8Příloha_2_ceník_pravid_úklid'!$B$9:$I$30,8,0))</f>
        <v>0</v>
      </c>
      <c r="O40" s="20">
        <v>2</v>
      </c>
      <c r="P40" s="20">
        <v>1</v>
      </c>
      <c r="Q40" s="20">
        <v>0</v>
      </c>
      <c r="R40" s="20">
        <v>0</v>
      </c>
      <c r="S40" s="21">
        <f>NETWORKDAYS.INTL(DATE(2018,1,1),DATE(2018,12,31),1,{"2018/1/1";"2018/3/30";"2018/4/2";"2018/5/1";"2018/5/8";"2018/7/5";"2018/7/6";"2018/09/28";"2018/11/17";"2018/12/24";"2018/12/25";"2018/12/26"})</f>
        <v>250</v>
      </c>
      <c r="T40" s="21">
        <f t="shared" si="0"/>
        <v>115</v>
      </c>
      <c r="U40" s="21">
        <f t="shared" si="1"/>
        <v>365</v>
      </c>
      <c r="V40" s="144">
        <f t="shared" si="2"/>
        <v>500</v>
      </c>
      <c r="W40" s="140">
        <f t="shared" si="3"/>
        <v>0</v>
      </c>
      <c r="X40" s="141">
        <f t="shared" si="4"/>
        <v>0</v>
      </c>
      <c r="Y40" s="141">
        <v>0</v>
      </c>
    </row>
    <row r="41" spans="1:25" ht="15" x14ac:dyDescent="0.25">
      <c r="A41" s="138" t="s">
        <v>1570</v>
      </c>
      <c r="B41" s="412" t="s">
        <v>54</v>
      </c>
      <c r="C41" s="412" t="s">
        <v>223</v>
      </c>
      <c r="D41" s="139" t="str">
        <f>VLOOKUP(C41,'Seznam HS - nemaš'!$A$1:$B$96,2,FALSE)</f>
        <v>455400</v>
      </c>
      <c r="E41" s="443">
        <v>125</v>
      </c>
      <c r="F41" s="426" t="s">
        <v>1582</v>
      </c>
      <c r="G41" s="426" t="s">
        <v>1583</v>
      </c>
      <c r="H41" s="28">
        <f>+IF(ISBLANK(I41),0,VLOOKUP(I41,'8Příloha_2_ceník_pravid_úklid'!$B$9:$C$30,2,0))</f>
        <v>6</v>
      </c>
      <c r="I41" s="425" t="s">
        <v>1</v>
      </c>
      <c r="J41" s="427">
        <v>33.1</v>
      </c>
      <c r="K41" s="425" t="s">
        <v>51</v>
      </c>
      <c r="L41" s="428" t="s">
        <v>65</v>
      </c>
      <c r="M41" s="429" t="s">
        <v>49</v>
      </c>
      <c r="N41" s="19">
        <f>IF((VLOOKUP(I41,'8Příloha_2_ceník_pravid_úklid'!$B$9:$I$30,8,0))=0,VLOOKUP(I41,'8Příloha_2_ceník_pravid_úklid'!$B$9:$K$30,10,0),VLOOKUP(I41,'8Příloha_2_ceník_pravid_úklid'!$B$9:$I$30,8,0))</f>
        <v>0</v>
      </c>
      <c r="O41" s="20">
        <v>2</v>
      </c>
      <c r="P41" s="20">
        <v>1</v>
      </c>
      <c r="Q41" s="20">
        <v>0</v>
      </c>
      <c r="R41" s="20">
        <v>0</v>
      </c>
      <c r="S41" s="21">
        <f>NETWORKDAYS.INTL(DATE(2018,1,1),DATE(2018,12,31),1,{"2018/1/1";"2018/3/30";"2018/4/2";"2018/5/1";"2018/5/8";"2018/7/5";"2018/7/6";"2018/09/28";"2018/11/17";"2018/12/24";"2018/12/25";"2018/12/26"})</f>
        <v>250</v>
      </c>
      <c r="T41" s="21">
        <f t="shared" si="0"/>
        <v>115</v>
      </c>
      <c r="U41" s="21">
        <f t="shared" si="1"/>
        <v>365</v>
      </c>
      <c r="V41" s="144">
        <f t="shared" si="2"/>
        <v>500</v>
      </c>
      <c r="W41" s="140">
        <f t="shared" si="3"/>
        <v>0</v>
      </c>
      <c r="X41" s="141">
        <f t="shared" si="4"/>
        <v>0</v>
      </c>
      <c r="Y41" s="141">
        <v>0</v>
      </c>
    </row>
    <row r="42" spans="1:25" ht="15" x14ac:dyDescent="0.25">
      <c r="A42" s="138" t="s">
        <v>1570</v>
      </c>
      <c r="B42" s="412" t="s">
        <v>54</v>
      </c>
      <c r="C42" s="412" t="s">
        <v>225</v>
      </c>
      <c r="D42" s="139" t="str">
        <f>VLOOKUP(C42,'Seznam HS - nemaš'!$A$1:$B$96,2,FALSE)</f>
        <v>455500</v>
      </c>
      <c r="E42" s="443">
        <v>126</v>
      </c>
      <c r="F42" s="426" t="s">
        <v>612</v>
      </c>
      <c r="G42" s="426" t="s">
        <v>1584</v>
      </c>
      <c r="H42" s="28">
        <f>+IF(ISBLANK(I42),0,VLOOKUP(I42,'8Příloha_2_ceník_pravid_úklid'!$B$9:$C$30,2,0))</f>
        <v>2</v>
      </c>
      <c r="I42" s="425" t="s">
        <v>2</v>
      </c>
      <c r="J42" s="427">
        <v>11.9</v>
      </c>
      <c r="K42" s="425" t="s">
        <v>51</v>
      </c>
      <c r="L42" s="428" t="s">
        <v>65</v>
      </c>
      <c r="M42" s="429" t="s">
        <v>49</v>
      </c>
      <c r="N42" s="19">
        <f>IF((VLOOKUP(I42,'8Příloha_2_ceník_pravid_úklid'!$B$9:$I$30,8,0))=0,VLOOKUP(I42,'8Příloha_2_ceník_pravid_úklid'!$B$9:$K$30,10,0),VLOOKUP(I42,'8Příloha_2_ceník_pravid_úklid'!$B$9:$I$30,8,0))</f>
        <v>0</v>
      </c>
      <c r="O42" s="20">
        <v>2</v>
      </c>
      <c r="P42" s="20">
        <v>1</v>
      </c>
      <c r="Q42" s="20">
        <v>0</v>
      </c>
      <c r="R42" s="20">
        <v>0</v>
      </c>
      <c r="S42" s="21">
        <f>NETWORKDAYS.INTL(DATE(2018,1,1),DATE(2018,12,31),1,{"2018/1/1";"2018/3/30";"2018/4/2";"2018/5/1";"2018/5/8";"2018/7/5";"2018/7/6";"2018/09/28";"2018/11/17";"2018/12/24";"2018/12/25";"2018/12/26"})</f>
        <v>250</v>
      </c>
      <c r="T42" s="21">
        <f t="shared" si="0"/>
        <v>115</v>
      </c>
      <c r="U42" s="21">
        <f t="shared" si="1"/>
        <v>365</v>
      </c>
      <c r="V42" s="144">
        <f t="shared" si="2"/>
        <v>500</v>
      </c>
      <c r="W42" s="140">
        <f t="shared" si="3"/>
        <v>0</v>
      </c>
      <c r="X42" s="141">
        <f t="shared" si="4"/>
        <v>0</v>
      </c>
      <c r="Y42" s="141">
        <v>0</v>
      </c>
    </row>
    <row r="43" spans="1:25" ht="15" x14ac:dyDescent="0.25">
      <c r="A43" s="138" t="s">
        <v>1570</v>
      </c>
      <c r="B43" s="412" t="s">
        <v>54</v>
      </c>
      <c r="C43" s="412" t="s">
        <v>223</v>
      </c>
      <c r="D43" s="139" t="str">
        <f>VLOOKUP(C43,'Seznam HS - nemaš'!$A$1:$B$96,2,FALSE)</f>
        <v>455400</v>
      </c>
      <c r="E43" s="443">
        <v>124</v>
      </c>
      <c r="F43" s="426" t="s">
        <v>558</v>
      </c>
      <c r="G43" s="426"/>
      <c r="H43" s="28">
        <f>+IF(ISBLANK(I43),0,VLOOKUP(I43,'8Příloha_2_ceník_pravid_úklid'!$B$9:$C$30,2,0))</f>
        <v>2</v>
      </c>
      <c r="I43" s="425" t="s">
        <v>2</v>
      </c>
      <c r="J43" s="427">
        <v>5.9</v>
      </c>
      <c r="K43" s="425" t="s">
        <v>51</v>
      </c>
      <c r="L43" s="428" t="s">
        <v>65</v>
      </c>
      <c r="M43" s="429" t="s">
        <v>49</v>
      </c>
      <c r="N43" s="19">
        <f>IF((VLOOKUP(I43,'8Příloha_2_ceník_pravid_úklid'!$B$9:$I$30,8,0))=0,VLOOKUP(I43,'8Příloha_2_ceník_pravid_úklid'!$B$9:$K$30,10,0),VLOOKUP(I43,'8Příloha_2_ceník_pravid_úklid'!$B$9:$I$30,8,0))</f>
        <v>0</v>
      </c>
      <c r="O43" s="20">
        <v>2</v>
      </c>
      <c r="P43" s="20">
        <v>1</v>
      </c>
      <c r="Q43" s="20">
        <v>0</v>
      </c>
      <c r="R43" s="20">
        <v>0</v>
      </c>
      <c r="S43" s="21">
        <f>NETWORKDAYS.INTL(DATE(2018,1,1),DATE(2018,12,31),1,{"2018/1/1";"2018/3/30";"2018/4/2";"2018/5/1";"2018/5/8";"2018/7/5";"2018/7/6";"2018/09/28";"2018/11/17";"2018/12/24";"2018/12/25";"2018/12/26"})</f>
        <v>250</v>
      </c>
      <c r="T43" s="21">
        <f t="shared" si="0"/>
        <v>115</v>
      </c>
      <c r="U43" s="21">
        <f t="shared" si="1"/>
        <v>365</v>
      </c>
      <c r="V43" s="144">
        <f t="shared" si="2"/>
        <v>500</v>
      </c>
      <c r="W43" s="140">
        <f t="shared" si="3"/>
        <v>0</v>
      </c>
      <c r="X43" s="141">
        <f t="shared" si="4"/>
        <v>0</v>
      </c>
      <c r="Y43" s="141">
        <v>0</v>
      </c>
    </row>
    <row r="44" spans="1:25" ht="15" x14ac:dyDescent="0.25">
      <c r="A44" s="138" t="s">
        <v>1570</v>
      </c>
      <c r="B44" s="412" t="s">
        <v>54</v>
      </c>
      <c r="C44" s="412" t="s">
        <v>223</v>
      </c>
      <c r="D44" s="139" t="str">
        <f>VLOOKUP(C44,'Seznam HS - nemaš'!$A$1:$B$96,2,FALSE)</f>
        <v>455400</v>
      </c>
      <c r="E44" s="443">
        <v>122</v>
      </c>
      <c r="F44" s="426" t="s">
        <v>1585</v>
      </c>
      <c r="G44" s="426"/>
      <c r="H44" s="28">
        <f>+IF(ISBLANK(I44),0,VLOOKUP(I44,'8Příloha_2_ceník_pravid_úklid'!$B$9:$C$30,2,0))</f>
        <v>3</v>
      </c>
      <c r="I44" s="425" t="s">
        <v>3</v>
      </c>
      <c r="J44" s="427">
        <v>29.8</v>
      </c>
      <c r="K44" s="425" t="s">
        <v>51</v>
      </c>
      <c r="L44" s="428" t="s">
        <v>65</v>
      </c>
      <c r="M44" s="429" t="s">
        <v>49</v>
      </c>
      <c r="N44" s="19">
        <f>IF((VLOOKUP(I44,'8Příloha_2_ceník_pravid_úklid'!$B$9:$I$30,8,0))=0,VLOOKUP(I44,'8Příloha_2_ceník_pravid_úklid'!$B$9:$K$30,10,0),VLOOKUP(I44,'8Příloha_2_ceník_pravid_úklid'!$B$9:$I$30,8,0))</f>
        <v>0</v>
      </c>
      <c r="O44" s="20">
        <v>2</v>
      </c>
      <c r="P44" s="20">
        <v>1</v>
      </c>
      <c r="Q44" s="20">
        <v>0</v>
      </c>
      <c r="R44" s="20">
        <v>0</v>
      </c>
      <c r="S44" s="21">
        <f>NETWORKDAYS.INTL(DATE(2018,1,1),DATE(2018,12,31),1,{"2018/1/1";"2018/3/30";"2018/4/2";"2018/5/1";"2018/5/8";"2018/7/5";"2018/7/6";"2018/09/28";"2018/11/17";"2018/12/24";"2018/12/25";"2018/12/26"})</f>
        <v>250</v>
      </c>
      <c r="T44" s="21">
        <f t="shared" si="0"/>
        <v>115</v>
      </c>
      <c r="U44" s="21">
        <f t="shared" si="1"/>
        <v>365</v>
      </c>
      <c r="V44" s="144">
        <f t="shared" si="2"/>
        <v>500</v>
      </c>
      <c r="W44" s="140">
        <f t="shared" si="3"/>
        <v>0</v>
      </c>
      <c r="X44" s="141">
        <f t="shared" si="4"/>
        <v>0</v>
      </c>
      <c r="Y44" s="141">
        <v>0</v>
      </c>
    </row>
    <row r="45" spans="1:25" ht="15" x14ac:dyDescent="0.25">
      <c r="A45" s="138" t="s">
        <v>1570</v>
      </c>
      <c r="B45" s="412" t="s">
        <v>54</v>
      </c>
      <c r="C45" s="412" t="s">
        <v>223</v>
      </c>
      <c r="D45" s="139" t="str">
        <f>VLOOKUP(C45,'Seznam HS - nemaš'!$A$1:$B$96,2,FALSE)</f>
        <v>455400</v>
      </c>
      <c r="E45" s="443">
        <v>121</v>
      </c>
      <c r="F45" s="426" t="s">
        <v>1586</v>
      </c>
      <c r="G45" s="439"/>
      <c r="H45" s="28">
        <f>+IF(ISBLANK(I45),0,VLOOKUP(I45,'8Příloha_2_ceník_pravid_úklid'!$B$9:$C$30,2,0))</f>
        <v>2</v>
      </c>
      <c r="I45" s="425" t="s">
        <v>2</v>
      </c>
      <c r="J45" s="427">
        <v>6.3</v>
      </c>
      <c r="K45" s="425" t="s">
        <v>51</v>
      </c>
      <c r="L45" s="428" t="s">
        <v>65</v>
      </c>
      <c r="M45" s="429" t="s">
        <v>49</v>
      </c>
      <c r="N45" s="19">
        <f>IF((VLOOKUP(I45,'8Příloha_2_ceník_pravid_úklid'!$B$9:$I$30,8,0))=0,VLOOKUP(I45,'8Příloha_2_ceník_pravid_úklid'!$B$9:$K$30,10,0),VLOOKUP(I45,'8Příloha_2_ceník_pravid_úklid'!$B$9:$I$30,8,0))</f>
        <v>0</v>
      </c>
      <c r="O45" s="20">
        <v>2</v>
      </c>
      <c r="P45" s="20">
        <v>1</v>
      </c>
      <c r="Q45" s="20">
        <v>0</v>
      </c>
      <c r="R45" s="20">
        <v>0</v>
      </c>
      <c r="S45" s="21">
        <f>NETWORKDAYS.INTL(DATE(2018,1,1),DATE(2018,12,31),1,{"2018/1/1";"2018/3/30";"2018/4/2";"2018/5/1";"2018/5/8";"2018/7/5";"2018/7/6";"2018/09/28";"2018/11/17";"2018/12/24";"2018/12/25";"2018/12/26"})</f>
        <v>250</v>
      </c>
      <c r="T45" s="21">
        <f t="shared" si="0"/>
        <v>115</v>
      </c>
      <c r="U45" s="21">
        <f t="shared" si="1"/>
        <v>365</v>
      </c>
      <c r="V45" s="144">
        <f t="shared" si="2"/>
        <v>500</v>
      </c>
      <c r="W45" s="140">
        <f t="shared" si="3"/>
        <v>0</v>
      </c>
      <c r="X45" s="141">
        <f t="shared" si="4"/>
        <v>0</v>
      </c>
      <c r="Y45" s="141">
        <v>0</v>
      </c>
    </row>
    <row r="46" spans="1:25" ht="15" x14ac:dyDescent="0.25">
      <c r="A46" s="138" t="s">
        <v>1570</v>
      </c>
      <c r="B46" s="412" t="s">
        <v>54</v>
      </c>
      <c r="C46" s="412" t="s">
        <v>223</v>
      </c>
      <c r="D46" s="139" t="str">
        <f>VLOOKUP(C46,'Seznam HS - nemaš'!$A$1:$B$96,2,FALSE)</f>
        <v>455400</v>
      </c>
      <c r="E46" s="443">
        <v>120</v>
      </c>
      <c r="F46" s="426" t="s">
        <v>1586</v>
      </c>
      <c r="G46" s="439"/>
      <c r="H46" s="28">
        <f>+IF(ISBLANK(I46),0,VLOOKUP(I46,'8Příloha_2_ceník_pravid_úklid'!$B$9:$C$30,2,0))</f>
        <v>2</v>
      </c>
      <c r="I46" s="425" t="s">
        <v>2</v>
      </c>
      <c r="J46" s="427">
        <v>8.5</v>
      </c>
      <c r="K46" s="425" t="s">
        <v>50</v>
      </c>
      <c r="L46" s="447" t="s">
        <v>65</v>
      </c>
      <c r="M46" s="429" t="s">
        <v>49</v>
      </c>
      <c r="N46" s="19">
        <f>IF((VLOOKUP(I46,'8Příloha_2_ceník_pravid_úklid'!$B$9:$I$30,8,0))=0,VLOOKUP(I46,'8Příloha_2_ceník_pravid_úklid'!$B$9:$K$30,10,0),VLOOKUP(I46,'8Příloha_2_ceník_pravid_úklid'!$B$9:$I$30,8,0))</f>
        <v>0</v>
      </c>
      <c r="O46" s="20">
        <v>2</v>
      </c>
      <c r="P46" s="20">
        <v>1</v>
      </c>
      <c r="Q46" s="20">
        <v>0</v>
      </c>
      <c r="R46" s="20">
        <v>0</v>
      </c>
      <c r="S46" s="21">
        <f>NETWORKDAYS.INTL(DATE(2018,1,1),DATE(2018,12,31),1,{"2018/1/1";"2018/3/30";"2018/4/2";"2018/5/1";"2018/5/8";"2018/7/5";"2018/7/6";"2018/09/28";"2018/11/17";"2018/12/24";"2018/12/25";"2018/12/26"})</f>
        <v>250</v>
      </c>
      <c r="T46" s="21">
        <f t="shared" si="0"/>
        <v>115</v>
      </c>
      <c r="U46" s="21">
        <f t="shared" si="1"/>
        <v>365</v>
      </c>
      <c r="V46" s="144">
        <f t="shared" si="2"/>
        <v>500</v>
      </c>
      <c r="W46" s="140">
        <f t="shared" si="3"/>
        <v>0</v>
      </c>
      <c r="X46" s="141">
        <f t="shared" si="4"/>
        <v>0</v>
      </c>
      <c r="Y46" s="141">
        <v>0</v>
      </c>
    </row>
    <row r="47" spans="1:25" ht="15" x14ac:dyDescent="0.25">
      <c r="A47" s="138" t="s">
        <v>1587</v>
      </c>
      <c r="B47" s="412" t="s">
        <v>54</v>
      </c>
      <c r="C47" s="412" t="s">
        <v>213</v>
      </c>
      <c r="D47" s="139" t="str">
        <f>VLOOKUP(C47,'Seznam HS - nemaš'!$A$1:$B$96,2,FALSE)</f>
        <v>450500</v>
      </c>
      <c r="E47" s="443">
        <v>115</v>
      </c>
      <c r="F47" s="426" t="s">
        <v>472</v>
      </c>
      <c r="G47" s="426" t="s">
        <v>661</v>
      </c>
      <c r="H47" s="28">
        <f>+IF(ISBLANK(I47),0,VLOOKUP(I47,'8Příloha_2_ceník_pravid_úklid'!$B$9:$C$30,2,0))</f>
        <v>3</v>
      </c>
      <c r="I47" s="443" t="s">
        <v>3</v>
      </c>
      <c r="J47" s="427">
        <v>83</v>
      </c>
      <c r="K47" s="425" t="s">
        <v>51</v>
      </c>
      <c r="L47" s="447" t="s">
        <v>65</v>
      </c>
      <c r="M47" s="429" t="s">
        <v>49</v>
      </c>
      <c r="N47" s="19">
        <f>IF((VLOOKUP(I47,'8Příloha_2_ceník_pravid_úklid'!$B$9:$I$30,8,0))=0,VLOOKUP(I47,'8Příloha_2_ceník_pravid_úklid'!$B$9:$K$30,10,0),VLOOKUP(I47,'8Příloha_2_ceník_pravid_úklid'!$B$9:$I$30,8,0))</f>
        <v>0</v>
      </c>
      <c r="O47" s="20">
        <v>2</v>
      </c>
      <c r="P47" s="20">
        <v>1</v>
      </c>
      <c r="Q47" s="20">
        <v>0</v>
      </c>
      <c r="R47" s="20">
        <v>0</v>
      </c>
      <c r="S47" s="21">
        <f>NETWORKDAYS.INTL(DATE(2018,1,1),DATE(2018,12,31),1,{"2018/1/1";"2018/3/30";"2018/4/2";"2018/5/1";"2018/5/8";"2018/7/5";"2018/7/6";"2018/09/28";"2018/11/17";"2018/12/24";"2018/12/25";"2018/12/26"})</f>
        <v>250</v>
      </c>
      <c r="T47" s="21">
        <f t="shared" si="0"/>
        <v>115</v>
      </c>
      <c r="U47" s="21">
        <f t="shared" si="1"/>
        <v>365</v>
      </c>
      <c r="V47" s="144">
        <f t="shared" si="2"/>
        <v>500</v>
      </c>
      <c r="W47" s="140">
        <f t="shared" si="3"/>
        <v>0</v>
      </c>
      <c r="X47" s="141">
        <f t="shared" si="4"/>
        <v>0</v>
      </c>
      <c r="Y47" s="141">
        <v>0</v>
      </c>
    </row>
    <row r="48" spans="1:25" ht="15" x14ac:dyDescent="0.25">
      <c r="A48" s="138" t="s">
        <v>1587</v>
      </c>
      <c r="B48" s="412" t="s">
        <v>54</v>
      </c>
      <c r="C48" s="412" t="s">
        <v>213</v>
      </c>
      <c r="D48" s="139" t="str">
        <f>VLOOKUP(C48,'Seznam HS - nemaš'!$A$1:$B$96,2,FALSE)</f>
        <v>450500</v>
      </c>
      <c r="E48" s="443">
        <v>116</v>
      </c>
      <c r="F48" s="426" t="s">
        <v>329</v>
      </c>
      <c r="G48" s="426" t="s">
        <v>488</v>
      </c>
      <c r="H48" s="28">
        <f>+IF(ISBLANK(I48),0,VLOOKUP(I48,'8Příloha_2_ceník_pravid_úklid'!$B$9:$C$30,2,0))</f>
        <v>4</v>
      </c>
      <c r="I48" s="443" t="s">
        <v>9</v>
      </c>
      <c r="J48" s="427">
        <v>11.6</v>
      </c>
      <c r="K48" s="425" t="s">
        <v>51</v>
      </c>
      <c r="L48" s="447" t="s">
        <v>89</v>
      </c>
      <c r="M48" s="429" t="s">
        <v>49</v>
      </c>
      <c r="N48" s="19">
        <f>IF((VLOOKUP(I48,'8Příloha_2_ceník_pravid_úklid'!$B$9:$I$30,8,0))=0,VLOOKUP(I48,'8Příloha_2_ceník_pravid_úklid'!$B$9:$K$30,10,0),VLOOKUP(I48,'8Příloha_2_ceník_pravid_úklid'!$B$9:$I$30,8,0))</f>
        <v>0</v>
      </c>
      <c r="O48" s="20">
        <v>1</v>
      </c>
      <c r="P48" s="20">
        <v>1</v>
      </c>
      <c r="Q48" s="20">
        <v>0</v>
      </c>
      <c r="R48" s="20">
        <v>0</v>
      </c>
      <c r="S48" s="21">
        <f>NETWORKDAYS.INTL(DATE(2018,1,1),DATE(2018,12,31),1,{"2018/1/1";"2018/3/30";"2018/4/2";"2018/5/1";"2018/5/8";"2018/7/5";"2018/7/6";"2018/09/28";"2018/11/17";"2018/12/24";"2018/12/25";"2018/12/26"})</f>
        <v>250</v>
      </c>
      <c r="T48" s="21">
        <f t="shared" si="0"/>
        <v>115</v>
      </c>
      <c r="U48" s="21">
        <f t="shared" si="1"/>
        <v>365</v>
      </c>
      <c r="V48" s="144">
        <f t="shared" si="2"/>
        <v>250</v>
      </c>
      <c r="W48" s="140">
        <f t="shared" si="3"/>
        <v>0</v>
      </c>
      <c r="X48" s="141">
        <f t="shared" si="4"/>
        <v>0</v>
      </c>
      <c r="Y48" s="141">
        <v>0</v>
      </c>
    </row>
    <row r="49" spans="1:25" ht="15" x14ac:dyDescent="0.25">
      <c r="A49" s="138" t="s">
        <v>1587</v>
      </c>
      <c r="B49" s="412" t="s">
        <v>54</v>
      </c>
      <c r="C49" s="412" t="s">
        <v>213</v>
      </c>
      <c r="D49" s="139" t="str">
        <f>VLOOKUP(C49,'Seznam HS - nemaš'!$A$1:$B$96,2,FALSE)</f>
        <v>450500</v>
      </c>
      <c r="E49" s="443">
        <v>113</v>
      </c>
      <c r="F49" s="426" t="s">
        <v>420</v>
      </c>
      <c r="G49" s="426" t="s">
        <v>1588</v>
      </c>
      <c r="H49" s="28">
        <f>+IF(ISBLANK(I49),0,VLOOKUP(I49,'8Příloha_2_ceník_pravid_úklid'!$B$9:$C$30,2,0))</f>
        <v>6</v>
      </c>
      <c r="I49" s="425" t="s">
        <v>1</v>
      </c>
      <c r="J49" s="427">
        <v>2.25</v>
      </c>
      <c r="K49" s="425" t="s">
        <v>51</v>
      </c>
      <c r="L49" s="447" t="s">
        <v>65</v>
      </c>
      <c r="M49" s="429" t="s">
        <v>49</v>
      </c>
      <c r="N49" s="19">
        <f>IF((VLOOKUP(I49,'8Příloha_2_ceník_pravid_úklid'!$B$9:$I$30,8,0))=0,VLOOKUP(I49,'8Příloha_2_ceník_pravid_úklid'!$B$9:$K$30,10,0),VLOOKUP(I49,'8Příloha_2_ceník_pravid_úklid'!$B$9:$I$30,8,0))</f>
        <v>0</v>
      </c>
      <c r="O49" s="20">
        <v>2</v>
      </c>
      <c r="P49" s="20">
        <v>1</v>
      </c>
      <c r="Q49" s="20">
        <v>0</v>
      </c>
      <c r="R49" s="20">
        <v>0</v>
      </c>
      <c r="S49" s="21">
        <f>NETWORKDAYS.INTL(DATE(2018,1,1),DATE(2018,12,31),1,{"2018/1/1";"2018/3/30";"2018/4/2";"2018/5/1";"2018/5/8";"2018/7/5";"2018/7/6";"2018/09/28";"2018/11/17";"2018/12/24";"2018/12/25";"2018/12/26"})</f>
        <v>250</v>
      </c>
      <c r="T49" s="21">
        <f t="shared" si="0"/>
        <v>115</v>
      </c>
      <c r="U49" s="21">
        <f t="shared" si="1"/>
        <v>365</v>
      </c>
      <c r="V49" s="144">
        <f t="shared" si="2"/>
        <v>500</v>
      </c>
      <c r="W49" s="140">
        <f t="shared" si="3"/>
        <v>0</v>
      </c>
      <c r="X49" s="141">
        <f t="shared" si="4"/>
        <v>0</v>
      </c>
      <c r="Y49" s="141">
        <v>0</v>
      </c>
    </row>
    <row r="50" spans="1:25" ht="15" x14ac:dyDescent="0.25">
      <c r="A50" s="138" t="s">
        <v>1587</v>
      </c>
      <c r="B50" s="412" t="s">
        <v>54</v>
      </c>
      <c r="C50" s="412" t="s">
        <v>213</v>
      </c>
      <c r="D50" s="139" t="str">
        <f>VLOOKUP(C50,'Seznam HS - nemaš'!$A$1:$B$96,2,FALSE)</f>
        <v>450500</v>
      </c>
      <c r="E50" s="443">
        <v>114</v>
      </c>
      <c r="F50" s="426" t="s">
        <v>357</v>
      </c>
      <c r="G50" s="426" t="s">
        <v>1589</v>
      </c>
      <c r="H50" s="28">
        <f>+IF(ISBLANK(I50),0,VLOOKUP(I50,'8Příloha_2_ceník_pravid_úklid'!$B$9:$C$30,2,0))</f>
        <v>7</v>
      </c>
      <c r="I50" s="425" t="s">
        <v>14</v>
      </c>
      <c r="J50" s="427">
        <v>3.6</v>
      </c>
      <c r="K50" s="425" t="s">
        <v>50</v>
      </c>
      <c r="L50" s="447" t="s">
        <v>65</v>
      </c>
      <c r="M50" s="429" t="s">
        <v>49</v>
      </c>
      <c r="N50" s="19">
        <f>IF((VLOOKUP(I50,'8Příloha_2_ceník_pravid_úklid'!$B$9:$I$30,8,0))=0,VLOOKUP(I50,'8Příloha_2_ceník_pravid_úklid'!$B$9:$K$30,10,0),VLOOKUP(I50,'8Příloha_2_ceník_pravid_úklid'!$B$9:$I$30,8,0))</f>
        <v>0</v>
      </c>
      <c r="O50" s="20">
        <v>2</v>
      </c>
      <c r="P50" s="20">
        <v>1</v>
      </c>
      <c r="Q50" s="20">
        <v>0</v>
      </c>
      <c r="R50" s="20">
        <v>0</v>
      </c>
      <c r="S50" s="21">
        <f>NETWORKDAYS.INTL(DATE(2018,1,1),DATE(2018,12,31),1,{"2018/1/1";"2018/3/30";"2018/4/2";"2018/5/1";"2018/5/8";"2018/7/5";"2018/7/6";"2018/09/28";"2018/11/17";"2018/12/24";"2018/12/25";"2018/12/26"})</f>
        <v>250</v>
      </c>
      <c r="T50" s="21">
        <f t="shared" si="0"/>
        <v>115</v>
      </c>
      <c r="U50" s="21">
        <f t="shared" si="1"/>
        <v>365</v>
      </c>
      <c r="V50" s="144">
        <f t="shared" si="2"/>
        <v>500</v>
      </c>
      <c r="W50" s="140">
        <f t="shared" si="3"/>
        <v>0</v>
      </c>
      <c r="X50" s="141">
        <f t="shared" si="4"/>
        <v>0</v>
      </c>
      <c r="Y50" s="141">
        <v>0</v>
      </c>
    </row>
    <row r="51" spans="1:25" ht="15" x14ac:dyDescent="0.25">
      <c r="A51" s="138" t="s">
        <v>1587</v>
      </c>
      <c r="B51" s="412" t="s">
        <v>54</v>
      </c>
      <c r="C51" s="412" t="s">
        <v>213</v>
      </c>
      <c r="D51" s="139" t="str">
        <f>VLOOKUP(C51,'Seznam HS - nemaš'!$A$1:$B$96,2,FALSE)</f>
        <v>450500</v>
      </c>
      <c r="E51" s="443">
        <v>112</v>
      </c>
      <c r="F51" s="426" t="s">
        <v>492</v>
      </c>
      <c r="G51" s="426" t="s">
        <v>1575</v>
      </c>
      <c r="H51" s="28">
        <f>+IF(ISBLANK(I51),0,VLOOKUP(I51,'8Příloha_2_ceník_pravid_úklid'!$B$9:$C$30,2,0))</f>
        <v>4</v>
      </c>
      <c r="I51" s="425" t="s">
        <v>9</v>
      </c>
      <c r="J51" s="427">
        <v>15.1</v>
      </c>
      <c r="K51" s="425" t="s">
        <v>51</v>
      </c>
      <c r="L51" s="448" t="s">
        <v>21</v>
      </c>
      <c r="M51" s="429" t="s">
        <v>49</v>
      </c>
      <c r="N51" s="19">
        <f>IF((VLOOKUP(I51,'8Příloha_2_ceník_pravid_úklid'!$B$9:$I$30,8,0))=0,VLOOKUP(I51,'8Příloha_2_ceník_pravid_úklid'!$B$9:$K$30,10,0),VLOOKUP(I51,'8Příloha_2_ceník_pravid_úklid'!$B$9:$I$30,8,0))</f>
        <v>0</v>
      </c>
      <c r="O51" s="20">
        <v>1</v>
      </c>
      <c r="P51" s="20">
        <v>1</v>
      </c>
      <c r="Q51" s="20">
        <v>0</v>
      </c>
      <c r="R51" s="20">
        <v>0</v>
      </c>
      <c r="S51" s="21">
        <f>NETWORKDAYS.INTL(DATE(2018,1,1),DATE(2018,12,31),1,{"2018/1/1";"2018/3/30";"2018/4/2";"2018/5/1";"2018/5/8";"2018/7/5";"2018/7/6";"2018/09/28";"2018/11/17";"2018/12/24";"2018/12/25";"2018/12/26"})</f>
        <v>250</v>
      </c>
      <c r="T51" s="21">
        <f t="shared" si="0"/>
        <v>115</v>
      </c>
      <c r="U51" s="21">
        <f t="shared" si="1"/>
        <v>365</v>
      </c>
      <c r="V51" s="144">
        <f t="shared" si="2"/>
        <v>250</v>
      </c>
      <c r="W51" s="140">
        <f t="shared" si="3"/>
        <v>0</v>
      </c>
      <c r="X51" s="141">
        <f t="shared" si="4"/>
        <v>0</v>
      </c>
      <c r="Y51" s="141">
        <v>0</v>
      </c>
    </row>
    <row r="52" spans="1:25" ht="15" x14ac:dyDescent="0.25">
      <c r="A52" s="138" t="s">
        <v>1587</v>
      </c>
      <c r="B52" s="412" t="s">
        <v>54</v>
      </c>
      <c r="C52" s="412" t="s">
        <v>213</v>
      </c>
      <c r="D52" s="139" t="str">
        <f>VLOOKUP(C52,'Seznam HS - nemaš'!$A$1:$B$96,2,FALSE)</f>
        <v>450500</v>
      </c>
      <c r="E52" s="443">
        <v>110</v>
      </c>
      <c r="F52" s="426" t="s">
        <v>377</v>
      </c>
      <c r="G52" s="426" t="s">
        <v>1575</v>
      </c>
      <c r="H52" s="28">
        <f>+IF(ISBLANK(I52),0,VLOOKUP(I52,'8Příloha_2_ceník_pravid_úklid'!$B$9:$C$30,2,0))</f>
        <v>4</v>
      </c>
      <c r="I52" s="425" t="s">
        <v>9</v>
      </c>
      <c r="J52" s="427">
        <v>18</v>
      </c>
      <c r="K52" s="425" t="s">
        <v>52</v>
      </c>
      <c r="L52" s="448" t="s">
        <v>21</v>
      </c>
      <c r="M52" s="429" t="s">
        <v>49</v>
      </c>
      <c r="N52" s="19">
        <f>IF((VLOOKUP(I52,'8Příloha_2_ceník_pravid_úklid'!$B$9:$I$30,8,0))=0,VLOOKUP(I52,'8Příloha_2_ceník_pravid_úklid'!$B$9:$K$30,10,0),VLOOKUP(I52,'8Příloha_2_ceník_pravid_úklid'!$B$9:$I$30,8,0))</f>
        <v>0</v>
      </c>
      <c r="O52" s="20">
        <v>1</v>
      </c>
      <c r="P52" s="20">
        <v>1</v>
      </c>
      <c r="Q52" s="20">
        <v>0</v>
      </c>
      <c r="R52" s="20">
        <v>0</v>
      </c>
      <c r="S52" s="21">
        <f>NETWORKDAYS.INTL(DATE(2018,1,1),DATE(2018,12,31),1,{"2018/1/1";"2018/3/30";"2018/4/2";"2018/5/1";"2018/5/8";"2018/7/5";"2018/7/6";"2018/09/28";"2018/11/17";"2018/12/24";"2018/12/25";"2018/12/26"})</f>
        <v>250</v>
      </c>
      <c r="T52" s="21">
        <f t="shared" si="0"/>
        <v>115</v>
      </c>
      <c r="U52" s="21">
        <f t="shared" si="1"/>
        <v>365</v>
      </c>
      <c r="V52" s="144">
        <f t="shared" si="2"/>
        <v>250</v>
      </c>
      <c r="W52" s="140">
        <f t="shared" si="3"/>
        <v>0</v>
      </c>
      <c r="X52" s="141">
        <f t="shared" si="4"/>
        <v>0</v>
      </c>
      <c r="Y52" s="141">
        <v>0</v>
      </c>
    </row>
    <row r="53" spans="1:25" ht="15" x14ac:dyDescent="0.25">
      <c r="A53" s="235" t="s">
        <v>1587</v>
      </c>
      <c r="B53" s="437" t="s">
        <v>54</v>
      </c>
      <c r="C53" s="437"/>
      <c r="D53" s="535">
        <f>VLOOKUP(C53,'Seznam HS - nemaš'!$A$1:$B$96,2,FALSE)</f>
        <v>0</v>
      </c>
      <c r="E53" s="444"/>
      <c r="F53" s="439" t="s">
        <v>398</v>
      </c>
      <c r="G53" s="439"/>
      <c r="H53" s="224">
        <f>+IF(ISBLANK(I53),0,VLOOKUP(I53,'8Příloha_2_ceník_pravid_úklid'!$B$9:$C$30,2,0))</f>
        <v>0</v>
      </c>
      <c r="I53" s="438"/>
      <c r="J53" s="440"/>
      <c r="K53" s="438" t="s">
        <v>50</v>
      </c>
      <c r="L53" s="441" t="s">
        <v>387</v>
      </c>
      <c r="M53" s="442"/>
      <c r="N53" s="229" t="s">
        <v>501</v>
      </c>
      <c r="O53" s="230">
        <v>0</v>
      </c>
      <c r="P53" s="230">
        <v>0</v>
      </c>
      <c r="Q53" s="230">
        <v>0</v>
      </c>
      <c r="R53" s="230">
        <v>0</v>
      </c>
      <c r="S53" s="231">
        <f>NETWORKDAYS.INTL(DATE(2018,1,1),DATE(2018,12,31),1,{"2018/1/1";"2018/3/30";"2018/4/2";"2018/5/1";"2018/5/8";"2018/7/5";"2018/7/6";"2018/09/28";"2018/11/17";"2018/12/24";"2018/12/25";"2018/12/26"})</f>
        <v>250</v>
      </c>
      <c r="T53" s="231">
        <f t="shared" si="0"/>
        <v>115</v>
      </c>
      <c r="U53" s="231">
        <f t="shared" si="1"/>
        <v>365</v>
      </c>
      <c r="V53" s="232">
        <f t="shared" si="2"/>
        <v>0</v>
      </c>
      <c r="W53" s="233">
        <f t="shared" si="3"/>
        <v>0</v>
      </c>
      <c r="X53" s="234">
        <f t="shared" si="4"/>
        <v>0</v>
      </c>
      <c r="Y53" s="234">
        <f t="shared" si="4"/>
        <v>0</v>
      </c>
    </row>
    <row r="54" spans="1:25" ht="15" x14ac:dyDescent="0.25">
      <c r="A54" s="138" t="s">
        <v>1587</v>
      </c>
      <c r="B54" s="412" t="s">
        <v>54</v>
      </c>
      <c r="C54" s="412" t="s">
        <v>213</v>
      </c>
      <c r="D54" s="139" t="str">
        <f>VLOOKUP(C54,'Seznam HS - nemaš'!$A$1:$B$96,2,FALSE)</f>
        <v>450500</v>
      </c>
      <c r="E54" s="443">
        <v>108</v>
      </c>
      <c r="F54" s="426" t="s">
        <v>437</v>
      </c>
      <c r="G54" s="426" t="s">
        <v>1589</v>
      </c>
      <c r="H54" s="28">
        <f>+IF(ISBLANK(I54),0,VLOOKUP(I54,'8Příloha_2_ceník_pravid_úklid'!$B$9:$C$30,2,0))</f>
        <v>7</v>
      </c>
      <c r="I54" s="425" t="s">
        <v>14</v>
      </c>
      <c r="J54" s="427">
        <v>0.95</v>
      </c>
      <c r="K54" s="425" t="s">
        <v>50</v>
      </c>
      <c r="L54" s="448" t="s">
        <v>21</v>
      </c>
      <c r="M54" s="429" t="s">
        <v>49</v>
      </c>
      <c r="N54" s="19">
        <f>IF((VLOOKUP(I54,'8Příloha_2_ceník_pravid_úklid'!$B$9:$I$30,8,0))=0,VLOOKUP(I54,'8Příloha_2_ceník_pravid_úklid'!$B$9:$K$30,10,0),VLOOKUP(I54,'8Příloha_2_ceník_pravid_úklid'!$B$9:$I$30,8,0))</f>
        <v>0</v>
      </c>
      <c r="O54" s="20">
        <v>1</v>
      </c>
      <c r="P54" s="20">
        <v>1</v>
      </c>
      <c r="Q54" s="20">
        <v>0</v>
      </c>
      <c r="R54" s="20">
        <v>0</v>
      </c>
      <c r="S54" s="21">
        <f>NETWORKDAYS.INTL(DATE(2018,1,1),DATE(2018,12,31),1,{"2018/1/1";"2018/3/30";"2018/4/2";"2018/5/1";"2018/5/8";"2018/7/5";"2018/7/6";"2018/09/28";"2018/11/17";"2018/12/24";"2018/12/25";"2018/12/26"})</f>
        <v>250</v>
      </c>
      <c r="T54" s="21">
        <f t="shared" si="0"/>
        <v>115</v>
      </c>
      <c r="U54" s="21">
        <f t="shared" si="1"/>
        <v>365</v>
      </c>
      <c r="V54" s="144">
        <f t="shared" si="2"/>
        <v>250</v>
      </c>
      <c r="W54" s="140">
        <f t="shared" si="3"/>
        <v>0</v>
      </c>
      <c r="X54" s="141">
        <f t="shared" si="4"/>
        <v>0</v>
      </c>
      <c r="Y54" s="141">
        <v>0</v>
      </c>
    </row>
    <row r="55" spans="1:25" ht="15" x14ac:dyDescent="0.25">
      <c r="A55" s="138" t="s">
        <v>1587</v>
      </c>
      <c r="B55" s="412" t="s">
        <v>54</v>
      </c>
      <c r="C55" s="412" t="s">
        <v>213</v>
      </c>
      <c r="D55" s="139" t="str">
        <f>VLOOKUP(C55,'Seznam HS - nemaš'!$A$1:$B$96,2,FALSE)</f>
        <v>450500</v>
      </c>
      <c r="E55" s="443">
        <v>109</v>
      </c>
      <c r="F55" s="426" t="s">
        <v>437</v>
      </c>
      <c r="G55" s="426" t="s">
        <v>1589</v>
      </c>
      <c r="H55" s="28">
        <f>+IF(ISBLANK(I55),0,VLOOKUP(I55,'8Příloha_2_ceník_pravid_úklid'!$B$9:$C$30,2,0))</f>
        <v>7</v>
      </c>
      <c r="I55" s="425" t="s">
        <v>14</v>
      </c>
      <c r="J55" s="427">
        <v>0.95</v>
      </c>
      <c r="K55" s="425" t="s">
        <v>50</v>
      </c>
      <c r="L55" s="448" t="s">
        <v>21</v>
      </c>
      <c r="M55" s="429" t="s">
        <v>49</v>
      </c>
      <c r="N55" s="19">
        <f>IF((VLOOKUP(I55,'8Příloha_2_ceník_pravid_úklid'!$B$9:$I$30,8,0))=0,VLOOKUP(I55,'8Příloha_2_ceník_pravid_úklid'!$B$9:$K$30,10,0),VLOOKUP(I55,'8Příloha_2_ceník_pravid_úklid'!$B$9:$I$30,8,0))</f>
        <v>0</v>
      </c>
      <c r="O55" s="20">
        <v>1</v>
      </c>
      <c r="P55" s="20">
        <v>1</v>
      </c>
      <c r="Q55" s="20">
        <v>0</v>
      </c>
      <c r="R55" s="20">
        <v>0</v>
      </c>
      <c r="S55" s="21">
        <f>NETWORKDAYS.INTL(DATE(2018,1,1),DATE(2018,12,31),1,{"2018/1/1";"2018/3/30";"2018/4/2";"2018/5/1";"2018/5/8";"2018/7/5";"2018/7/6";"2018/09/28";"2018/11/17";"2018/12/24";"2018/12/25";"2018/12/26"})</f>
        <v>250</v>
      </c>
      <c r="T55" s="21">
        <f t="shared" si="0"/>
        <v>115</v>
      </c>
      <c r="U55" s="21">
        <f t="shared" si="1"/>
        <v>365</v>
      </c>
      <c r="V55" s="144">
        <f t="shared" si="2"/>
        <v>250</v>
      </c>
      <c r="W55" s="140">
        <f t="shared" si="3"/>
        <v>0</v>
      </c>
      <c r="X55" s="141">
        <f t="shared" si="4"/>
        <v>0</v>
      </c>
      <c r="Y55" s="141">
        <v>0</v>
      </c>
    </row>
    <row r="56" spans="1:25" ht="15" x14ac:dyDescent="0.25">
      <c r="A56" s="138" t="s">
        <v>1587</v>
      </c>
      <c r="B56" s="412" t="s">
        <v>54</v>
      </c>
      <c r="C56" s="412" t="s">
        <v>213</v>
      </c>
      <c r="D56" s="139" t="str">
        <f>VLOOKUP(C56,'Seznam HS - nemaš'!$A$1:$B$96,2,FALSE)</f>
        <v>450500</v>
      </c>
      <c r="E56" s="443">
        <v>107</v>
      </c>
      <c r="F56" s="426" t="s">
        <v>562</v>
      </c>
      <c r="G56" s="426" t="s">
        <v>1589</v>
      </c>
      <c r="H56" s="28">
        <f>+IF(ISBLANK(I56),0,VLOOKUP(I56,'8Příloha_2_ceník_pravid_úklid'!$B$9:$C$30,2,0))</f>
        <v>7</v>
      </c>
      <c r="I56" s="425" t="s">
        <v>14</v>
      </c>
      <c r="J56" s="427">
        <v>6.7</v>
      </c>
      <c r="K56" s="425" t="s">
        <v>50</v>
      </c>
      <c r="L56" s="448" t="s">
        <v>21</v>
      </c>
      <c r="M56" s="429" t="s">
        <v>49</v>
      </c>
      <c r="N56" s="19">
        <f>IF((VLOOKUP(I56,'8Příloha_2_ceník_pravid_úklid'!$B$9:$I$30,8,0))=0,VLOOKUP(I56,'8Příloha_2_ceník_pravid_úklid'!$B$9:$K$30,10,0),VLOOKUP(I56,'8Příloha_2_ceník_pravid_úklid'!$B$9:$I$30,8,0))</f>
        <v>0</v>
      </c>
      <c r="O56" s="20">
        <v>1</v>
      </c>
      <c r="P56" s="20">
        <v>1</v>
      </c>
      <c r="Q56" s="20">
        <v>0</v>
      </c>
      <c r="R56" s="20">
        <v>0</v>
      </c>
      <c r="S56" s="21">
        <f>NETWORKDAYS.INTL(DATE(2018,1,1),DATE(2018,12,31),1,{"2018/1/1";"2018/3/30";"2018/4/2";"2018/5/1";"2018/5/8";"2018/7/5";"2018/7/6";"2018/09/28";"2018/11/17";"2018/12/24";"2018/12/25";"2018/12/26"})</f>
        <v>250</v>
      </c>
      <c r="T56" s="21">
        <f t="shared" si="0"/>
        <v>115</v>
      </c>
      <c r="U56" s="21">
        <f t="shared" si="1"/>
        <v>365</v>
      </c>
      <c r="V56" s="144">
        <f t="shared" si="2"/>
        <v>250</v>
      </c>
      <c r="W56" s="140">
        <f t="shared" si="3"/>
        <v>0</v>
      </c>
      <c r="X56" s="141">
        <f t="shared" si="4"/>
        <v>0</v>
      </c>
      <c r="Y56" s="141">
        <v>0</v>
      </c>
    </row>
    <row r="57" spans="1:25" ht="15" x14ac:dyDescent="0.25">
      <c r="A57" s="138" t="s">
        <v>767</v>
      </c>
      <c r="B57" s="412" t="s">
        <v>54</v>
      </c>
      <c r="C57" s="412" t="s">
        <v>213</v>
      </c>
      <c r="D57" s="139" t="str">
        <f>VLOOKUP(C57,'Seznam HS - nemaš'!$A$1:$B$96,2,FALSE)</f>
        <v>450500</v>
      </c>
      <c r="E57" s="443">
        <v>106</v>
      </c>
      <c r="F57" s="426" t="s">
        <v>53</v>
      </c>
      <c r="G57" s="426" t="s">
        <v>1589</v>
      </c>
      <c r="H57" s="28">
        <f>+IF(ISBLANK(I57),0,VLOOKUP(I57,'8Příloha_2_ceník_pravid_úklid'!$B$9:$C$30,2,0))</f>
        <v>6</v>
      </c>
      <c r="I57" s="425" t="s">
        <v>1</v>
      </c>
      <c r="J57" s="427">
        <v>32.4</v>
      </c>
      <c r="K57" s="425" t="s">
        <v>50</v>
      </c>
      <c r="L57" s="428" t="s">
        <v>65</v>
      </c>
      <c r="M57" s="429" t="s">
        <v>49</v>
      </c>
      <c r="N57" s="19">
        <f>IF((VLOOKUP(I57,'8Příloha_2_ceník_pravid_úklid'!$B$9:$I$30,8,0))=0,VLOOKUP(I57,'8Příloha_2_ceník_pravid_úklid'!$B$9:$K$30,10,0),VLOOKUP(I57,'8Příloha_2_ceník_pravid_úklid'!$B$9:$I$30,8,0))</f>
        <v>0</v>
      </c>
      <c r="O57" s="20">
        <v>2</v>
      </c>
      <c r="P57" s="20">
        <v>1</v>
      </c>
      <c r="Q57" s="20">
        <v>0</v>
      </c>
      <c r="R57" s="20">
        <v>0</v>
      </c>
      <c r="S57" s="21">
        <f>NETWORKDAYS.INTL(DATE(2018,1,1),DATE(2018,12,31),1,{"2018/1/1";"2018/3/30";"2018/4/2";"2018/5/1";"2018/5/8";"2018/7/5";"2018/7/6";"2018/09/28";"2018/11/17";"2018/12/24";"2018/12/25";"2018/12/26"})</f>
        <v>250</v>
      </c>
      <c r="T57" s="21">
        <f t="shared" si="0"/>
        <v>115</v>
      </c>
      <c r="U57" s="21">
        <f t="shared" si="1"/>
        <v>365</v>
      </c>
      <c r="V57" s="144">
        <f t="shared" si="2"/>
        <v>500</v>
      </c>
      <c r="W57" s="140">
        <f t="shared" si="3"/>
        <v>0</v>
      </c>
      <c r="X57" s="141">
        <f t="shared" si="4"/>
        <v>0</v>
      </c>
      <c r="Y57" s="141">
        <v>0</v>
      </c>
    </row>
    <row r="58" spans="1:25" ht="15" x14ac:dyDescent="0.25">
      <c r="A58" s="138" t="s">
        <v>767</v>
      </c>
      <c r="B58" s="412" t="s">
        <v>54</v>
      </c>
      <c r="C58" s="412" t="s">
        <v>225</v>
      </c>
      <c r="D58" s="139" t="str">
        <f>VLOOKUP(C58,'Seznam HS - nemaš'!$A$1:$B$96,2,FALSE)</f>
        <v>455500</v>
      </c>
      <c r="E58" s="443">
        <v>117</v>
      </c>
      <c r="F58" s="426" t="s">
        <v>53</v>
      </c>
      <c r="G58" s="426" t="s">
        <v>1565</v>
      </c>
      <c r="H58" s="28">
        <f>+IF(ISBLANK(I58),0,VLOOKUP(I58,'8Příloha_2_ceník_pravid_úklid'!$B$9:$C$30,2,0))</f>
        <v>6</v>
      </c>
      <c r="I58" s="425" t="s">
        <v>1</v>
      </c>
      <c r="J58" s="427">
        <v>16</v>
      </c>
      <c r="K58" s="425" t="s">
        <v>50</v>
      </c>
      <c r="L58" s="428" t="s">
        <v>65</v>
      </c>
      <c r="M58" s="429" t="s">
        <v>49</v>
      </c>
      <c r="N58" s="19">
        <f>IF((VLOOKUP(I58,'8Příloha_2_ceník_pravid_úklid'!$B$9:$I$30,8,0))=0,VLOOKUP(I58,'8Příloha_2_ceník_pravid_úklid'!$B$9:$K$30,10,0),VLOOKUP(I58,'8Příloha_2_ceník_pravid_úklid'!$B$9:$I$30,8,0))</f>
        <v>0</v>
      </c>
      <c r="O58" s="20">
        <v>2</v>
      </c>
      <c r="P58" s="20">
        <v>1</v>
      </c>
      <c r="Q58" s="20">
        <v>0</v>
      </c>
      <c r="R58" s="20">
        <v>0</v>
      </c>
      <c r="S58" s="21">
        <f>NETWORKDAYS.INTL(DATE(2018,1,1),DATE(2018,12,31),1,{"2018/1/1";"2018/3/30";"2018/4/2";"2018/5/1";"2018/5/8";"2018/7/5";"2018/7/6";"2018/09/28";"2018/11/17";"2018/12/24";"2018/12/25";"2018/12/26"})</f>
        <v>250</v>
      </c>
      <c r="T58" s="21">
        <f t="shared" si="0"/>
        <v>115</v>
      </c>
      <c r="U58" s="21">
        <f t="shared" si="1"/>
        <v>365</v>
      </c>
      <c r="V58" s="144">
        <f t="shared" si="2"/>
        <v>500</v>
      </c>
      <c r="W58" s="140">
        <f t="shared" si="3"/>
        <v>0</v>
      </c>
      <c r="X58" s="141">
        <f t="shared" si="4"/>
        <v>0</v>
      </c>
      <c r="Y58" s="141">
        <v>0</v>
      </c>
    </row>
    <row r="59" spans="1:25" ht="15" x14ac:dyDescent="0.25">
      <c r="A59" s="138" t="s">
        <v>1587</v>
      </c>
      <c r="B59" s="412" t="s">
        <v>54</v>
      </c>
      <c r="C59" s="412" t="s">
        <v>213</v>
      </c>
      <c r="D59" s="139" t="str">
        <f>VLOOKUP(C59,'Seznam HS - nemaš'!$A$1:$B$96,2,FALSE)</f>
        <v>450500</v>
      </c>
      <c r="E59" s="443">
        <v>144</v>
      </c>
      <c r="F59" s="426" t="s">
        <v>490</v>
      </c>
      <c r="G59" s="426" t="s">
        <v>1575</v>
      </c>
      <c r="H59" s="28">
        <f>+IF(ISBLANK(I59),0,VLOOKUP(I59,'8Příloha_2_ceník_pravid_úklid'!$B$9:$C$30,2,0))</f>
        <v>2</v>
      </c>
      <c r="I59" s="425" t="s">
        <v>2</v>
      </c>
      <c r="J59" s="427">
        <v>8.75</v>
      </c>
      <c r="K59" s="425" t="s">
        <v>51</v>
      </c>
      <c r="L59" s="428" t="s">
        <v>65</v>
      </c>
      <c r="M59" s="429" t="s">
        <v>49</v>
      </c>
      <c r="N59" s="19">
        <f>IF((VLOOKUP(I59,'8Příloha_2_ceník_pravid_úklid'!$B$9:$I$30,8,0))=0,VLOOKUP(I59,'8Příloha_2_ceník_pravid_úklid'!$B$9:$K$30,10,0),VLOOKUP(I59,'8Příloha_2_ceník_pravid_úklid'!$B$9:$I$30,8,0))</f>
        <v>0</v>
      </c>
      <c r="O59" s="20">
        <v>2</v>
      </c>
      <c r="P59" s="20">
        <v>1</v>
      </c>
      <c r="Q59" s="20">
        <v>0</v>
      </c>
      <c r="R59" s="20">
        <v>0</v>
      </c>
      <c r="S59" s="21">
        <f>NETWORKDAYS.INTL(DATE(2018,1,1),DATE(2018,12,31),1,{"2018/1/1";"2018/3/30";"2018/4/2";"2018/5/1";"2018/5/8";"2018/7/5";"2018/7/6";"2018/09/28";"2018/11/17";"2018/12/24";"2018/12/25";"2018/12/26"})</f>
        <v>250</v>
      </c>
      <c r="T59" s="21">
        <f t="shared" si="0"/>
        <v>115</v>
      </c>
      <c r="U59" s="21">
        <f t="shared" si="1"/>
        <v>365</v>
      </c>
      <c r="V59" s="144">
        <f t="shared" si="2"/>
        <v>500</v>
      </c>
      <c r="W59" s="140">
        <f t="shared" si="3"/>
        <v>0</v>
      </c>
      <c r="X59" s="141">
        <f t="shared" si="4"/>
        <v>0</v>
      </c>
      <c r="Y59" s="141">
        <v>0</v>
      </c>
    </row>
    <row r="60" spans="1:25" ht="15" x14ac:dyDescent="0.25">
      <c r="A60" s="138" t="s">
        <v>1587</v>
      </c>
      <c r="B60" s="412" t="s">
        <v>54</v>
      </c>
      <c r="C60" s="412" t="s">
        <v>213</v>
      </c>
      <c r="D60" s="139" t="str">
        <f>VLOOKUP(C60,'Seznam HS - nemaš'!$A$1:$B$96,2,FALSE)</f>
        <v>450500</v>
      </c>
      <c r="E60" s="443">
        <v>142</v>
      </c>
      <c r="F60" s="426" t="s">
        <v>1590</v>
      </c>
      <c r="G60" s="426" t="s">
        <v>499</v>
      </c>
      <c r="H60" s="28">
        <f>+IF(ISBLANK(I60),0,VLOOKUP(I60,'8Příloha_2_ceník_pravid_úklid'!$B$9:$C$30,2,0))</f>
        <v>4</v>
      </c>
      <c r="I60" s="449" t="s">
        <v>9</v>
      </c>
      <c r="J60" s="427">
        <v>9.5</v>
      </c>
      <c r="K60" s="425" t="s">
        <v>51</v>
      </c>
      <c r="L60" s="447" t="s">
        <v>21</v>
      </c>
      <c r="M60" s="429" t="s">
        <v>49</v>
      </c>
      <c r="N60" s="19">
        <f>IF((VLOOKUP(I60,'8Příloha_2_ceník_pravid_úklid'!$B$9:$I$30,8,0))=0,VLOOKUP(I60,'8Příloha_2_ceník_pravid_úklid'!$B$9:$K$30,10,0),VLOOKUP(I60,'8Příloha_2_ceník_pravid_úklid'!$B$9:$I$30,8,0))</f>
        <v>0</v>
      </c>
      <c r="O60" s="20">
        <v>1</v>
      </c>
      <c r="P60" s="20">
        <v>1</v>
      </c>
      <c r="Q60" s="20">
        <v>0</v>
      </c>
      <c r="R60" s="20">
        <v>0</v>
      </c>
      <c r="S60" s="21">
        <f>NETWORKDAYS.INTL(DATE(2018,1,1),DATE(2018,12,31),1,{"2018/1/1";"2018/3/30";"2018/4/2";"2018/5/1";"2018/5/8";"2018/7/5";"2018/7/6";"2018/09/28";"2018/11/17";"2018/12/24";"2018/12/25";"2018/12/26"})</f>
        <v>250</v>
      </c>
      <c r="T60" s="21">
        <f t="shared" si="0"/>
        <v>115</v>
      </c>
      <c r="U60" s="21">
        <f t="shared" si="1"/>
        <v>365</v>
      </c>
      <c r="V60" s="144">
        <f t="shared" si="2"/>
        <v>250</v>
      </c>
      <c r="W60" s="140">
        <f t="shared" si="3"/>
        <v>0</v>
      </c>
      <c r="X60" s="141">
        <f t="shared" si="4"/>
        <v>0</v>
      </c>
      <c r="Y60" s="141">
        <v>0</v>
      </c>
    </row>
    <row r="61" spans="1:25" ht="15" x14ac:dyDescent="0.25">
      <c r="A61" s="138" t="s">
        <v>1570</v>
      </c>
      <c r="B61" s="412" t="s">
        <v>54</v>
      </c>
      <c r="C61" s="412" t="s">
        <v>223</v>
      </c>
      <c r="D61" s="139" t="str">
        <f>VLOOKUP(C61,'Seznam HS - nemaš'!$A$1:$B$96,2,FALSE)</f>
        <v>455400</v>
      </c>
      <c r="E61" s="443">
        <v>111</v>
      </c>
      <c r="F61" s="426" t="s">
        <v>492</v>
      </c>
      <c r="G61" s="426" t="s">
        <v>1565</v>
      </c>
      <c r="H61" s="28">
        <f>+IF(ISBLANK(I61),0,VLOOKUP(I61,'8Příloha_2_ceník_pravid_úklid'!$B$9:$C$30,2,0))</f>
        <v>4</v>
      </c>
      <c r="I61" s="425" t="s">
        <v>9</v>
      </c>
      <c r="J61" s="427">
        <v>15.2</v>
      </c>
      <c r="K61" s="425" t="s">
        <v>51</v>
      </c>
      <c r="L61" s="448" t="s">
        <v>21</v>
      </c>
      <c r="M61" s="429" t="s">
        <v>49</v>
      </c>
      <c r="N61" s="19">
        <f>IF((VLOOKUP(I61,'8Příloha_2_ceník_pravid_úklid'!$B$9:$I$30,8,0))=0,VLOOKUP(I61,'8Příloha_2_ceník_pravid_úklid'!$B$9:$K$30,10,0),VLOOKUP(I61,'8Příloha_2_ceník_pravid_úklid'!$B$9:$I$30,8,0))</f>
        <v>0</v>
      </c>
      <c r="O61" s="20">
        <v>1</v>
      </c>
      <c r="P61" s="20">
        <v>1</v>
      </c>
      <c r="Q61" s="20">
        <v>0</v>
      </c>
      <c r="R61" s="20">
        <v>0</v>
      </c>
      <c r="S61" s="21">
        <f>NETWORKDAYS.INTL(DATE(2018,1,1),DATE(2018,12,31),1,{"2018/1/1";"2018/3/30";"2018/4/2";"2018/5/1";"2018/5/8";"2018/7/5";"2018/7/6";"2018/09/28";"2018/11/17";"2018/12/24";"2018/12/25";"2018/12/26"})</f>
        <v>250</v>
      </c>
      <c r="T61" s="21">
        <f t="shared" si="0"/>
        <v>115</v>
      </c>
      <c r="U61" s="21">
        <f t="shared" si="1"/>
        <v>365</v>
      </c>
      <c r="V61" s="144">
        <f t="shared" si="2"/>
        <v>250</v>
      </c>
      <c r="W61" s="140">
        <f t="shared" si="3"/>
        <v>0</v>
      </c>
      <c r="X61" s="141">
        <f t="shared" si="4"/>
        <v>0</v>
      </c>
      <c r="Y61" s="141">
        <v>0</v>
      </c>
    </row>
    <row r="62" spans="1:25" ht="15" x14ac:dyDescent="0.25">
      <c r="A62" s="138" t="s">
        <v>1570</v>
      </c>
      <c r="B62" s="412" t="s">
        <v>54</v>
      </c>
      <c r="C62" s="412" t="s">
        <v>223</v>
      </c>
      <c r="D62" s="139" t="str">
        <f>VLOOKUP(C62,'Seznam HS - nemaš'!$A$1:$B$96,2,FALSE)</f>
        <v>455400</v>
      </c>
      <c r="E62" s="443">
        <v>118</v>
      </c>
      <c r="F62" s="426" t="s">
        <v>389</v>
      </c>
      <c r="G62" s="426" t="s">
        <v>1591</v>
      </c>
      <c r="H62" s="28">
        <f>+IF(ISBLANK(I62),0,VLOOKUP(I62,'8Příloha_2_ceník_pravid_úklid'!$B$9:$C$30,2,0))</f>
        <v>17</v>
      </c>
      <c r="I62" s="425" t="s">
        <v>13</v>
      </c>
      <c r="J62" s="427">
        <v>4.8</v>
      </c>
      <c r="K62" s="425" t="s">
        <v>651</v>
      </c>
      <c r="L62" s="428" t="s">
        <v>65</v>
      </c>
      <c r="M62" s="429" t="s">
        <v>49</v>
      </c>
      <c r="N62" s="19">
        <f>IF((VLOOKUP(I62,'8Příloha_2_ceník_pravid_úklid'!$B$9:$I$30,8,0))=0,VLOOKUP(I62,'8Příloha_2_ceník_pravid_úklid'!$B$9:$K$30,10,0),VLOOKUP(I62,'8Příloha_2_ceník_pravid_úklid'!$B$9:$I$30,8,0))</f>
        <v>0</v>
      </c>
      <c r="O62" s="20">
        <v>2</v>
      </c>
      <c r="P62" s="20">
        <v>1</v>
      </c>
      <c r="Q62" s="20">
        <v>0</v>
      </c>
      <c r="R62" s="20">
        <v>0</v>
      </c>
      <c r="S62" s="21">
        <f>NETWORKDAYS.INTL(DATE(2018,1,1),DATE(2018,12,31),1,{"2018/1/1";"2018/3/30";"2018/4/2";"2018/5/1";"2018/5/8";"2018/7/5";"2018/7/6";"2018/09/28";"2018/11/17";"2018/12/24";"2018/12/25";"2018/12/26"})</f>
        <v>250</v>
      </c>
      <c r="T62" s="21">
        <f t="shared" si="0"/>
        <v>115</v>
      </c>
      <c r="U62" s="21">
        <f t="shared" si="1"/>
        <v>365</v>
      </c>
      <c r="V62" s="144">
        <f t="shared" si="2"/>
        <v>500</v>
      </c>
      <c r="W62" s="140">
        <f t="shared" si="3"/>
        <v>0</v>
      </c>
      <c r="X62" s="141">
        <f t="shared" si="4"/>
        <v>0</v>
      </c>
      <c r="Y62" s="141">
        <v>0</v>
      </c>
    </row>
    <row r="63" spans="1:25" ht="15" x14ac:dyDescent="0.25">
      <c r="A63" s="138" t="s">
        <v>1570</v>
      </c>
      <c r="B63" s="412" t="s">
        <v>54</v>
      </c>
      <c r="C63" s="412" t="s">
        <v>223</v>
      </c>
      <c r="D63" s="139" t="str">
        <f>VLOOKUP(C63,'Seznam HS - nemaš'!$A$1:$B$96,2,FALSE)</f>
        <v>455400</v>
      </c>
      <c r="E63" s="443">
        <v>119</v>
      </c>
      <c r="F63" s="426" t="s">
        <v>389</v>
      </c>
      <c r="G63" s="426" t="s">
        <v>1592</v>
      </c>
      <c r="H63" s="28">
        <f>+IF(ISBLANK(I63),0,VLOOKUP(I63,'8Příloha_2_ceník_pravid_úklid'!$B$9:$C$30,2,0))</f>
        <v>2</v>
      </c>
      <c r="I63" s="425" t="s">
        <v>2</v>
      </c>
      <c r="J63" s="427">
        <v>3.5</v>
      </c>
      <c r="K63" s="425" t="s">
        <v>651</v>
      </c>
      <c r="L63" s="428" t="s">
        <v>487</v>
      </c>
      <c r="M63" s="429" t="s">
        <v>49</v>
      </c>
      <c r="N63" s="19">
        <f>IF((VLOOKUP(I63,'8Příloha_2_ceník_pravid_úklid'!$B$9:$I$30,8,0))=0,VLOOKUP(I63,'8Příloha_2_ceník_pravid_úklid'!$B$9:$K$30,10,0),VLOOKUP(I63,'8Příloha_2_ceník_pravid_úklid'!$B$9:$I$30,8,0))</f>
        <v>0</v>
      </c>
      <c r="O63" s="20">
        <v>1</v>
      </c>
      <c r="P63" s="20">
        <f>1/5</f>
        <v>0.2</v>
      </c>
      <c r="Q63" s="20">
        <v>0</v>
      </c>
      <c r="R63" s="20">
        <v>0</v>
      </c>
      <c r="S63" s="21">
        <f>NETWORKDAYS.INTL(DATE(2018,1,1),DATE(2018,12,31),1,{"2018/1/1";"2018/3/30";"2018/4/2";"2018/5/1";"2018/5/8";"2018/7/5";"2018/7/6";"2018/09/28";"2018/11/17";"2018/12/24";"2018/12/25";"2018/12/26"})</f>
        <v>250</v>
      </c>
      <c r="T63" s="21">
        <f t="shared" si="0"/>
        <v>115</v>
      </c>
      <c r="U63" s="21">
        <f t="shared" si="1"/>
        <v>365</v>
      </c>
      <c r="V63" s="144">
        <f t="shared" si="2"/>
        <v>50</v>
      </c>
      <c r="W63" s="140">
        <f t="shared" si="3"/>
        <v>0</v>
      </c>
      <c r="X63" s="141">
        <f t="shared" si="4"/>
        <v>0</v>
      </c>
      <c r="Y63" s="141">
        <v>0</v>
      </c>
    </row>
    <row r="64" spans="1:25" ht="15" x14ac:dyDescent="0.25">
      <c r="A64" s="138" t="s">
        <v>1570</v>
      </c>
      <c r="B64" s="412" t="s">
        <v>54</v>
      </c>
      <c r="C64" s="412" t="s">
        <v>225</v>
      </c>
      <c r="D64" s="139" t="str">
        <f>VLOOKUP(C64,'Seznam HS - nemaš'!$A$1:$B$96,2,FALSE)</f>
        <v>455500</v>
      </c>
      <c r="E64" s="443">
        <v>143</v>
      </c>
      <c r="F64" s="426" t="s">
        <v>1593</v>
      </c>
      <c r="G64" s="426" t="s">
        <v>1565</v>
      </c>
      <c r="H64" s="28">
        <f>+IF(ISBLANK(I64),0,VLOOKUP(I64,'8Příloha_2_ceník_pravid_úklid'!$B$9:$C$30,2,0))</f>
        <v>3</v>
      </c>
      <c r="I64" s="443" t="s">
        <v>3</v>
      </c>
      <c r="J64" s="427">
        <v>9.5</v>
      </c>
      <c r="K64" s="425" t="s">
        <v>50</v>
      </c>
      <c r="L64" s="447" t="s">
        <v>65</v>
      </c>
      <c r="M64" s="429" t="s">
        <v>49</v>
      </c>
      <c r="N64" s="19">
        <f>IF((VLOOKUP(I64,'8Příloha_2_ceník_pravid_úklid'!$B$9:$I$30,8,0))=0,VLOOKUP(I64,'8Příloha_2_ceník_pravid_úklid'!$B$9:$K$30,10,0),VLOOKUP(I64,'8Příloha_2_ceník_pravid_úklid'!$B$9:$I$30,8,0))</f>
        <v>0</v>
      </c>
      <c r="O64" s="20">
        <v>2</v>
      </c>
      <c r="P64" s="20">
        <v>1</v>
      </c>
      <c r="Q64" s="20">
        <v>0</v>
      </c>
      <c r="R64" s="20">
        <v>0</v>
      </c>
      <c r="S64" s="21">
        <f>NETWORKDAYS.INTL(DATE(2018,1,1),DATE(2018,12,31),1,{"2018/1/1";"2018/3/30";"2018/4/2";"2018/5/1";"2018/5/8";"2018/7/5";"2018/7/6";"2018/09/28";"2018/11/17";"2018/12/24";"2018/12/25";"2018/12/26"})</f>
        <v>250</v>
      </c>
      <c r="T64" s="21">
        <f t="shared" si="0"/>
        <v>115</v>
      </c>
      <c r="U64" s="21">
        <f t="shared" si="1"/>
        <v>365</v>
      </c>
      <c r="V64" s="144">
        <f t="shared" si="2"/>
        <v>500</v>
      </c>
      <c r="W64" s="140">
        <f t="shared" si="3"/>
        <v>0</v>
      </c>
      <c r="X64" s="141">
        <f t="shared" si="4"/>
        <v>0</v>
      </c>
      <c r="Y64" s="141">
        <v>0</v>
      </c>
    </row>
    <row r="65" spans="1:25" ht="15" x14ac:dyDescent="0.25">
      <c r="A65" s="138" t="s">
        <v>1570</v>
      </c>
      <c r="B65" s="412" t="s">
        <v>54</v>
      </c>
      <c r="C65" s="412" t="s">
        <v>225</v>
      </c>
      <c r="D65" s="139" t="str">
        <f>VLOOKUP(C65,'Seznam HS - nemaš'!$A$1:$B$96,2,FALSE)</f>
        <v>455500</v>
      </c>
      <c r="E65" s="443">
        <v>141</v>
      </c>
      <c r="F65" s="426" t="s">
        <v>472</v>
      </c>
      <c r="G65" s="426" t="s">
        <v>1594</v>
      </c>
      <c r="H65" s="28">
        <f>+IF(ISBLANK(I65),0,VLOOKUP(I65,'8Příloha_2_ceník_pravid_úklid'!$B$9:$C$30,2,0))</f>
        <v>3</v>
      </c>
      <c r="I65" s="443" t="s">
        <v>3</v>
      </c>
      <c r="J65" s="427">
        <v>13.9</v>
      </c>
      <c r="K65" s="425" t="s">
        <v>51</v>
      </c>
      <c r="L65" s="447" t="s">
        <v>65</v>
      </c>
      <c r="M65" s="429" t="s">
        <v>49</v>
      </c>
      <c r="N65" s="19">
        <f>IF((VLOOKUP(I65,'8Příloha_2_ceník_pravid_úklid'!$B$9:$I$30,8,0))=0,VLOOKUP(I65,'8Příloha_2_ceník_pravid_úklid'!$B$9:$K$30,10,0),VLOOKUP(I65,'8Příloha_2_ceník_pravid_úklid'!$B$9:$I$30,8,0))</f>
        <v>0</v>
      </c>
      <c r="O65" s="20">
        <v>2</v>
      </c>
      <c r="P65" s="20">
        <v>1</v>
      </c>
      <c r="Q65" s="20">
        <v>0</v>
      </c>
      <c r="R65" s="20">
        <v>0</v>
      </c>
      <c r="S65" s="21">
        <f>NETWORKDAYS.INTL(DATE(2018,1,1),DATE(2018,12,31),1,{"2018/1/1";"2018/3/30";"2018/4/2";"2018/5/1";"2018/5/8";"2018/7/5";"2018/7/6";"2018/09/28";"2018/11/17";"2018/12/24";"2018/12/25";"2018/12/26"})</f>
        <v>250</v>
      </c>
      <c r="T65" s="21">
        <f t="shared" si="0"/>
        <v>115</v>
      </c>
      <c r="U65" s="21">
        <f t="shared" si="1"/>
        <v>365</v>
      </c>
      <c r="V65" s="144">
        <f t="shared" si="2"/>
        <v>500</v>
      </c>
      <c r="W65" s="140">
        <f t="shared" si="3"/>
        <v>0</v>
      </c>
      <c r="X65" s="141">
        <f t="shared" si="4"/>
        <v>0</v>
      </c>
      <c r="Y65" s="141">
        <v>0</v>
      </c>
    </row>
    <row r="66" spans="1:25" ht="15" x14ac:dyDescent="0.25">
      <c r="A66" s="138" t="s">
        <v>1570</v>
      </c>
      <c r="B66" s="412" t="s">
        <v>54</v>
      </c>
      <c r="C66" s="412" t="s">
        <v>225</v>
      </c>
      <c r="D66" s="139" t="str">
        <f>VLOOKUP(C66,'Seznam HS - nemaš'!$A$1:$B$96,2,FALSE)</f>
        <v>455500</v>
      </c>
      <c r="E66" s="443">
        <v>140</v>
      </c>
      <c r="F66" s="426" t="s">
        <v>472</v>
      </c>
      <c r="G66" s="426" t="s">
        <v>1595</v>
      </c>
      <c r="H66" s="28">
        <f>+IF(ISBLANK(I66),0,VLOOKUP(I66,'8Příloha_2_ceník_pravid_úklid'!$B$9:$C$30,2,0))</f>
        <v>3</v>
      </c>
      <c r="I66" s="443" t="s">
        <v>3</v>
      </c>
      <c r="J66" s="427">
        <v>11.2</v>
      </c>
      <c r="K66" s="425" t="s">
        <v>51</v>
      </c>
      <c r="L66" s="447" t="s">
        <v>65</v>
      </c>
      <c r="M66" s="429"/>
      <c r="N66" s="19">
        <f>IF((VLOOKUP(I66,'8Příloha_2_ceník_pravid_úklid'!$B$9:$I$30,8,0))=0,VLOOKUP(I66,'8Příloha_2_ceník_pravid_úklid'!$B$9:$K$30,10,0),VLOOKUP(I66,'8Příloha_2_ceník_pravid_úklid'!$B$9:$I$30,8,0))</f>
        <v>0</v>
      </c>
      <c r="O66" s="20">
        <v>2</v>
      </c>
      <c r="P66" s="20">
        <v>1</v>
      </c>
      <c r="Q66" s="20">
        <v>0</v>
      </c>
      <c r="R66" s="20">
        <v>0</v>
      </c>
      <c r="S66" s="21">
        <f>NETWORKDAYS.INTL(DATE(2018,1,1),DATE(2018,12,31),1,{"2018/1/1";"2018/3/30";"2018/4/2";"2018/5/1";"2018/5/8";"2018/7/5";"2018/7/6";"2018/09/28";"2018/11/17";"2018/12/24";"2018/12/25";"2018/12/26"})</f>
        <v>250</v>
      </c>
      <c r="T66" s="21">
        <f t="shared" si="0"/>
        <v>115</v>
      </c>
      <c r="U66" s="21">
        <f t="shared" si="1"/>
        <v>365</v>
      </c>
      <c r="V66" s="144">
        <f t="shared" si="2"/>
        <v>500</v>
      </c>
      <c r="W66" s="140">
        <f t="shared" si="3"/>
        <v>0</v>
      </c>
      <c r="X66" s="141">
        <f t="shared" si="4"/>
        <v>0</v>
      </c>
      <c r="Y66" s="141">
        <v>0</v>
      </c>
    </row>
    <row r="67" spans="1:25" ht="15" x14ac:dyDescent="0.25">
      <c r="A67" s="138" t="s">
        <v>1570</v>
      </c>
      <c r="B67" s="412" t="s">
        <v>54</v>
      </c>
      <c r="C67" s="412" t="s">
        <v>225</v>
      </c>
      <c r="D67" s="139" t="str">
        <f>VLOOKUP(C67,'Seznam HS - nemaš'!$A$1:$B$96,2,FALSE)</f>
        <v>455500</v>
      </c>
      <c r="E67" s="443">
        <v>139</v>
      </c>
      <c r="F67" s="426" t="s">
        <v>1590</v>
      </c>
      <c r="G67" s="426" t="s">
        <v>377</v>
      </c>
      <c r="H67" s="28">
        <f>+IF(ISBLANK(I67),0,VLOOKUP(I67,'8Příloha_2_ceník_pravid_úklid'!$B$9:$C$30,2,0))</f>
        <v>4</v>
      </c>
      <c r="I67" s="425" t="s">
        <v>9</v>
      </c>
      <c r="J67" s="427">
        <v>12.25</v>
      </c>
      <c r="K67" s="425" t="s">
        <v>51</v>
      </c>
      <c r="L67" s="445" t="s">
        <v>21</v>
      </c>
      <c r="M67" s="429" t="s">
        <v>49</v>
      </c>
      <c r="N67" s="19">
        <f>IF((VLOOKUP(I67,'8Příloha_2_ceník_pravid_úklid'!$B$9:$I$30,8,0))=0,VLOOKUP(I67,'8Příloha_2_ceník_pravid_úklid'!$B$9:$K$30,10,0),VLOOKUP(I67,'8Příloha_2_ceník_pravid_úklid'!$B$9:$I$30,8,0))</f>
        <v>0</v>
      </c>
      <c r="O67" s="20">
        <v>1</v>
      </c>
      <c r="P67" s="20">
        <v>1</v>
      </c>
      <c r="Q67" s="20">
        <v>0</v>
      </c>
      <c r="R67" s="20">
        <v>0</v>
      </c>
      <c r="S67" s="21">
        <f>NETWORKDAYS.INTL(DATE(2018,1,1),DATE(2018,12,31),1,{"2018/1/1";"2018/3/30";"2018/4/2";"2018/5/1";"2018/5/8";"2018/7/5";"2018/7/6";"2018/09/28";"2018/11/17";"2018/12/24";"2018/12/25";"2018/12/26"})</f>
        <v>250</v>
      </c>
      <c r="T67" s="21">
        <f t="shared" si="0"/>
        <v>115</v>
      </c>
      <c r="U67" s="21">
        <f t="shared" si="1"/>
        <v>365</v>
      </c>
      <c r="V67" s="144">
        <f t="shared" si="2"/>
        <v>250</v>
      </c>
      <c r="W67" s="140">
        <f t="shared" si="3"/>
        <v>0</v>
      </c>
      <c r="X67" s="141">
        <f t="shared" si="4"/>
        <v>0</v>
      </c>
      <c r="Y67" s="141">
        <v>0</v>
      </c>
    </row>
    <row r="68" spans="1:25" ht="15" x14ac:dyDescent="0.25">
      <c r="A68" s="138" t="s">
        <v>1570</v>
      </c>
      <c r="B68" s="412" t="s">
        <v>54</v>
      </c>
      <c r="C68" s="412" t="s">
        <v>225</v>
      </c>
      <c r="D68" s="139" t="str">
        <f>VLOOKUP(C68,'Seznam HS - nemaš'!$A$1:$B$96,2,FALSE)</f>
        <v>455500</v>
      </c>
      <c r="E68" s="443">
        <v>138</v>
      </c>
      <c r="F68" s="426" t="s">
        <v>472</v>
      </c>
      <c r="G68" s="426" t="s">
        <v>1596</v>
      </c>
      <c r="H68" s="28">
        <f>+IF(ISBLANK(I68),0,VLOOKUP(I68,'8Příloha_2_ceník_pravid_úklid'!$B$9:$C$30,2,0))</f>
        <v>3</v>
      </c>
      <c r="I68" s="443" t="s">
        <v>3</v>
      </c>
      <c r="J68" s="427">
        <v>11</v>
      </c>
      <c r="K68" s="425" t="s">
        <v>51</v>
      </c>
      <c r="L68" s="447" t="s">
        <v>65</v>
      </c>
      <c r="M68" s="429" t="s">
        <v>49</v>
      </c>
      <c r="N68" s="19">
        <f>IF((VLOOKUP(I68,'8Příloha_2_ceník_pravid_úklid'!$B$9:$I$30,8,0))=0,VLOOKUP(I68,'8Příloha_2_ceník_pravid_úklid'!$B$9:$K$30,10,0),VLOOKUP(I68,'8Příloha_2_ceník_pravid_úklid'!$B$9:$I$30,8,0))</f>
        <v>0</v>
      </c>
      <c r="O68" s="20">
        <v>2</v>
      </c>
      <c r="P68" s="20">
        <v>1</v>
      </c>
      <c r="Q68" s="20">
        <v>0</v>
      </c>
      <c r="R68" s="20">
        <v>0</v>
      </c>
      <c r="S68" s="21">
        <f>NETWORKDAYS.INTL(DATE(2018,1,1),DATE(2018,12,31),1,{"2018/1/1";"2018/3/30";"2018/4/2";"2018/5/1";"2018/5/8";"2018/7/5";"2018/7/6";"2018/09/28";"2018/11/17";"2018/12/24";"2018/12/25";"2018/12/26"})</f>
        <v>250</v>
      </c>
      <c r="T68" s="21">
        <f t="shared" si="0"/>
        <v>115</v>
      </c>
      <c r="U68" s="21">
        <f t="shared" si="1"/>
        <v>365</v>
      </c>
      <c r="V68" s="144">
        <f t="shared" si="2"/>
        <v>500</v>
      </c>
      <c r="W68" s="140">
        <f t="shared" si="3"/>
        <v>0</v>
      </c>
      <c r="X68" s="141">
        <f t="shared" si="4"/>
        <v>0</v>
      </c>
      <c r="Y68" s="141">
        <v>0</v>
      </c>
    </row>
    <row r="69" spans="1:25" ht="15" x14ac:dyDescent="0.25">
      <c r="A69" s="138" t="s">
        <v>1570</v>
      </c>
      <c r="B69" s="412" t="s">
        <v>54</v>
      </c>
      <c r="C69" s="412" t="s">
        <v>225</v>
      </c>
      <c r="D69" s="139" t="str">
        <f>VLOOKUP(C69,'Seznam HS - nemaš'!$A$1:$B$96,2,FALSE)</f>
        <v>455500</v>
      </c>
      <c r="E69" s="443">
        <v>137</v>
      </c>
      <c r="F69" s="426" t="s">
        <v>472</v>
      </c>
      <c r="G69" s="426" t="s">
        <v>1597</v>
      </c>
      <c r="H69" s="28">
        <f>+IF(ISBLANK(I69),0,VLOOKUP(I69,'8Příloha_2_ceník_pravid_úklid'!$B$9:$C$30,2,0))</f>
        <v>3</v>
      </c>
      <c r="I69" s="443" t="s">
        <v>3</v>
      </c>
      <c r="J69" s="427">
        <v>12.1</v>
      </c>
      <c r="K69" s="425" t="s">
        <v>51</v>
      </c>
      <c r="L69" s="447" t="s">
        <v>65</v>
      </c>
      <c r="M69" s="429" t="s">
        <v>49</v>
      </c>
      <c r="N69" s="19">
        <f>IF((VLOOKUP(I69,'8Příloha_2_ceník_pravid_úklid'!$B$9:$I$30,8,0))=0,VLOOKUP(I69,'8Příloha_2_ceník_pravid_úklid'!$B$9:$K$30,10,0),VLOOKUP(I69,'8Příloha_2_ceník_pravid_úklid'!$B$9:$I$30,8,0))</f>
        <v>0</v>
      </c>
      <c r="O69" s="20">
        <v>2</v>
      </c>
      <c r="P69" s="20">
        <v>1</v>
      </c>
      <c r="Q69" s="20">
        <v>0</v>
      </c>
      <c r="R69" s="20">
        <v>0</v>
      </c>
      <c r="S69" s="21">
        <f>NETWORKDAYS.INTL(DATE(2018,1,1),DATE(2018,12,31),1,{"2018/1/1";"2018/3/30";"2018/4/2";"2018/5/1";"2018/5/8";"2018/7/5";"2018/7/6";"2018/09/28";"2018/11/17";"2018/12/24";"2018/12/25";"2018/12/26"})</f>
        <v>250</v>
      </c>
      <c r="T69" s="21">
        <f t="shared" si="0"/>
        <v>115</v>
      </c>
      <c r="U69" s="21">
        <f t="shared" si="1"/>
        <v>365</v>
      </c>
      <c r="V69" s="144">
        <f t="shared" si="2"/>
        <v>500</v>
      </c>
      <c r="W69" s="140">
        <f t="shared" si="3"/>
        <v>0</v>
      </c>
      <c r="X69" s="141">
        <f t="shared" si="4"/>
        <v>0</v>
      </c>
      <c r="Y69" s="141">
        <v>0</v>
      </c>
    </row>
    <row r="70" spans="1:25" ht="15" x14ac:dyDescent="0.25">
      <c r="A70" s="235" t="s">
        <v>1570</v>
      </c>
      <c r="B70" s="437" t="s">
        <v>54</v>
      </c>
      <c r="C70" s="437" t="s">
        <v>225</v>
      </c>
      <c r="D70" s="535" t="str">
        <f>VLOOKUP(C70,'Seznam HS - nemaš'!$A$1:$B$96,2,FALSE)</f>
        <v>455500</v>
      </c>
      <c r="E70" s="444">
        <v>123</v>
      </c>
      <c r="F70" s="439" t="s">
        <v>554</v>
      </c>
      <c r="G70" s="439"/>
      <c r="H70" s="224">
        <f>+IF(ISBLANK(I70),0,VLOOKUP(I70,'8Příloha_2_ceník_pravid_úklid'!$B$9:$C$30,2,0))</f>
        <v>7</v>
      </c>
      <c r="I70" s="438" t="s">
        <v>14</v>
      </c>
      <c r="J70" s="440">
        <v>2.2200000000000002</v>
      </c>
      <c r="K70" s="438" t="s">
        <v>50</v>
      </c>
      <c r="L70" s="450" t="s">
        <v>66</v>
      </c>
      <c r="M70" s="442"/>
      <c r="N70" s="229" t="s">
        <v>501</v>
      </c>
      <c r="O70" s="230">
        <v>0</v>
      </c>
      <c r="P70" s="230">
        <v>0</v>
      </c>
      <c r="Q70" s="230">
        <v>0</v>
      </c>
      <c r="R70" s="230">
        <v>0</v>
      </c>
      <c r="S70" s="231">
        <f>NETWORKDAYS.INTL(DATE(2018,1,1),DATE(2018,12,31),1,{"2018/1/1";"2018/3/30";"2018/4/2";"2018/5/1";"2018/5/8";"2018/7/5";"2018/7/6";"2018/09/28";"2018/11/17";"2018/12/24";"2018/12/25";"2018/12/26"})</f>
        <v>250</v>
      </c>
      <c r="T70" s="231">
        <f t="shared" ref="T70:T112" si="5">U70-S70</f>
        <v>115</v>
      </c>
      <c r="U70" s="231">
        <f t="shared" ref="U70:U112" si="6">_xlfn.DAYS("1.1.2019","1.1.2018")</f>
        <v>365</v>
      </c>
      <c r="V70" s="232">
        <f t="shared" ref="V70:V112" si="7">ROUND(O70*P70*S70+Q70*R70*T70,2)</f>
        <v>0</v>
      </c>
      <c r="W70" s="233">
        <f t="shared" ref="W70:W112" si="8">ROUND(IF(N70="neoceňuje se",+J70*0*V70,J70*N70*V70),2)</f>
        <v>0</v>
      </c>
      <c r="X70" s="234">
        <f t="shared" ref="X70:Y112" si="9">ROUND(W70*1.21,2)</f>
        <v>0</v>
      </c>
      <c r="Y70" s="234">
        <f t="shared" si="9"/>
        <v>0</v>
      </c>
    </row>
    <row r="71" spans="1:25" ht="15" x14ac:dyDescent="0.25">
      <c r="A71" s="138" t="s">
        <v>1570</v>
      </c>
      <c r="B71" s="412" t="s">
        <v>54</v>
      </c>
      <c r="C71" s="412" t="s">
        <v>223</v>
      </c>
      <c r="D71" s="139" t="str">
        <f>VLOOKUP(C71,'Seznam HS - nemaš'!$A$1:$B$96,2,FALSE)</f>
        <v>455400</v>
      </c>
      <c r="E71" s="443">
        <v>134</v>
      </c>
      <c r="F71" s="426" t="s">
        <v>556</v>
      </c>
      <c r="G71" s="426" t="s">
        <v>420</v>
      </c>
      <c r="H71" s="28">
        <f>+IF(ISBLANK(I71),0,VLOOKUP(I71,'8Příloha_2_ceník_pravid_úklid'!$B$9:$C$30,2,0))</f>
        <v>7</v>
      </c>
      <c r="I71" s="425" t="s">
        <v>14</v>
      </c>
      <c r="J71" s="427">
        <f>1.45*1.4</f>
        <v>2.0299999999999998</v>
      </c>
      <c r="K71" s="425" t="s">
        <v>50</v>
      </c>
      <c r="L71" s="428" t="s">
        <v>65</v>
      </c>
      <c r="M71" s="429" t="s">
        <v>49</v>
      </c>
      <c r="N71" s="19">
        <f>IF((VLOOKUP(I71,'8Příloha_2_ceník_pravid_úklid'!$B$9:$I$30,8,0))=0,VLOOKUP(I71,'8Příloha_2_ceník_pravid_úklid'!$B$9:$K$30,10,0),VLOOKUP(I71,'8Příloha_2_ceník_pravid_úklid'!$B$9:$I$30,8,0))</f>
        <v>0</v>
      </c>
      <c r="O71" s="20">
        <v>2</v>
      </c>
      <c r="P71" s="20">
        <v>1</v>
      </c>
      <c r="Q71" s="20">
        <v>0</v>
      </c>
      <c r="R71" s="20">
        <v>0</v>
      </c>
      <c r="S71" s="21">
        <f>NETWORKDAYS.INTL(DATE(2018,1,1),DATE(2018,12,31),1,{"2018/1/1";"2018/3/30";"2018/4/2";"2018/5/1";"2018/5/8";"2018/7/5";"2018/7/6";"2018/09/28";"2018/11/17";"2018/12/24";"2018/12/25";"2018/12/26"})</f>
        <v>250</v>
      </c>
      <c r="T71" s="21">
        <f t="shared" si="5"/>
        <v>115</v>
      </c>
      <c r="U71" s="21">
        <f t="shared" si="6"/>
        <v>365</v>
      </c>
      <c r="V71" s="144">
        <f t="shared" si="7"/>
        <v>500</v>
      </c>
      <c r="W71" s="140">
        <f t="shared" si="8"/>
        <v>0</v>
      </c>
      <c r="X71" s="141">
        <f t="shared" si="9"/>
        <v>0</v>
      </c>
      <c r="Y71" s="141">
        <v>0</v>
      </c>
    </row>
    <row r="72" spans="1:25" ht="15" x14ac:dyDescent="0.25">
      <c r="A72" s="138" t="s">
        <v>1570</v>
      </c>
      <c r="B72" s="412" t="s">
        <v>54</v>
      </c>
      <c r="C72" s="412" t="s">
        <v>223</v>
      </c>
      <c r="D72" s="139" t="str">
        <f>VLOOKUP(C72,'Seznam HS - nemaš'!$A$1:$B$96,2,FALSE)</f>
        <v>455400</v>
      </c>
      <c r="E72" s="443">
        <v>135</v>
      </c>
      <c r="F72" s="426" t="s">
        <v>437</v>
      </c>
      <c r="G72" s="426" t="s">
        <v>1583</v>
      </c>
      <c r="H72" s="28">
        <f>+IF(ISBLANK(I72),0,VLOOKUP(I72,'8Příloha_2_ceník_pravid_úklid'!$B$9:$C$30,2,0))</f>
        <v>7</v>
      </c>
      <c r="I72" s="425" t="s">
        <v>14</v>
      </c>
      <c r="J72" s="427">
        <f>1.4*1.2</f>
        <v>1.68</v>
      </c>
      <c r="K72" s="425" t="s">
        <v>50</v>
      </c>
      <c r="L72" s="428" t="s">
        <v>65</v>
      </c>
      <c r="M72" s="429" t="s">
        <v>49</v>
      </c>
      <c r="N72" s="19">
        <f>IF((VLOOKUP(I72,'8Příloha_2_ceník_pravid_úklid'!$B$9:$I$30,8,0))=0,VLOOKUP(I72,'8Příloha_2_ceník_pravid_úklid'!$B$9:$K$30,10,0),VLOOKUP(I72,'8Příloha_2_ceník_pravid_úklid'!$B$9:$I$30,8,0))</f>
        <v>0</v>
      </c>
      <c r="O72" s="20">
        <v>2</v>
      </c>
      <c r="P72" s="20">
        <v>1</v>
      </c>
      <c r="Q72" s="20">
        <v>0</v>
      </c>
      <c r="R72" s="20">
        <v>0</v>
      </c>
      <c r="S72" s="21">
        <f>NETWORKDAYS.INTL(DATE(2018,1,1),DATE(2018,12,31),1,{"2018/1/1";"2018/3/30";"2018/4/2";"2018/5/1";"2018/5/8";"2018/7/5";"2018/7/6";"2018/09/28";"2018/11/17";"2018/12/24";"2018/12/25";"2018/12/26"})</f>
        <v>250</v>
      </c>
      <c r="T72" s="21">
        <f t="shared" si="5"/>
        <v>115</v>
      </c>
      <c r="U72" s="21">
        <f t="shared" si="6"/>
        <v>365</v>
      </c>
      <c r="V72" s="144">
        <f t="shared" si="7"/>
        <v>500</v>
      </c>
      <c r="W72" s="140">
        <f t="shared" si="8"/>
        <v>0</v>
      </c>
      <c r="X72" s="141">
        <f t="shared" si="9"/>
        <v>0</v>
      </c>
      <c r="Y72" s="141">
        <v>0</v>
      </c>
    </row>
    <row r="73" spans="1:25" ht="15" x14ac:dyDescent="0.25">
      <c r="A73" s="138" t="s">
        <v>1570</v>
      </c>
      <c r="B73" s="412" t="s">
        <v>54</v>
      </c>
      <c r="C73" s="412" t="s">
        <v>223</v>
      </c>
      <c r="D73" s="139" t="str">
        <f>VLOOKUP(C73,'Seznam HS - nemaš'!$A$1:$B$96,2,FALSE)</f>
        <v>455400</v>
      </c>
      <c r="E73" s="443">
        <v>136</v>
      </c>
      <c r="F73" s="426" t="s">
        <v>437</v>
      </c>
      <c r="G73" s="426" t="s">
        <v>1583</v>
      </c>
      <c r="H73" s="28">
        <f>+IF(ISBLANK(I73),0,VLOOKUP(I73,'8Příloha_2_ceník_pravid_úklid'!$B$9:$C$30,2,0))</f>
        <v>7</v>
      </c>
      <c r="I73" s="425" t="s">
        <v>14</v>
      </c>
      <c r="J73" s="427">
        <f>1.4*1.15</f>
        <v>1.6099999999999999</v>
      </c>
      <c r="K73" s="425" t="s">
        <v>50</v>
      </c>
      <c r="L73" s="428" t="s">
        <v>65</v>
      </c>
      <c r="M73" s="429" t="s">
        <v>49</v>
      </c>
      <c r="N73" s="19">
        <f>IF((VLOOKUP(I73,'8Příloha_2_ceník_pravid_úklid'!$B$9:$I$30,8,0))=0,VLOOKUP(I73,'8Příloha_2_ceník_pravid_úklid'!$B$9:$K$30,10,0),VLOOKUP(I73,'8Příloha_2_ceník_pravid_úklid'!$B$9:$I$30,8,0))</f>
        <v>0</v>
      </c>
      <c r="O73" s="20">
        <v>2</v>
      </c>
      <c r="P73" s="20">
        <v>1</v>
      </c>
      <c r="Q73" s="20">
        <v>0</v>
      </c>
      <c r="R73" s="20">
        <v>0</v>
      </c>
      <c r="S73" s="21">
        <f>NETWORKDAYS.INTL(DATE(2018,1,1),DATE(2018,12,31),1,{"2018/1/1";"2018/3/30";"2018/4/2";"2018/5/1";"2018/5/8";"2018/7/5";"2018/7/6";"2018/09/28";"2018/11/17";"2018/12/24";"2018/12/25";"2018/12/26"})</f>
        <v>250</v>
      </c>
      <c r="T73" s="21">
        <f t="shared" si="5"/>
        <v>115</v>
      </c>
      <c r="U73" s="21">
        <f t="shared" si="6"/>
        <v>365</v>
      </c>
      <c r="V73" s="144">
        <f t="shared" si="7"/>
        <v>500</v>
      </c>
      <c r="W73" s="140">
        <f t="shared" si="8"/>
        <v>0</v>
      </c>
      <c r="X73" s="141">
        <f t="shared" si="9"/>
        <v>0</v>
      </c>
      <c r="Y73" s="141">
        <v>0</v>
      </c>
    </row>
    <row r="74" spans="1:25" ht="15" x14ac:dyDescent="0.25">
      <c r="A74" s="138" t="s">
        <v>1570</v>
      </c>
      <c r="B74" s="412" t="s">
        <v>54</v>
      </c>
      <c r="C74" s="412" t="s">
        <v>223</v>
      </c>
      <c r="D74" s="139" t="str">
        <f>VLOOKUP(C74,'Seznam HS - nemaš'!$A$1:$B$96,2,FALSE)</f>
        <v>455400</v>
      </c>
      <c r="E74" s="443">
        <v>133</v>
      </c>
      <c r="F74" s="426" t="s">
        <v>556</v>
      </c>
      <c r="G74" s="426" t="s">
        <v>555</v>
      </c>
      <c r="H74" s="28">
        <f>+IF(ISBLANK(I74),0,VLOOKUP(I74,'8Příloha_2_ceník_pravid_úklid'!$B$9:$C$30,2,0))</f>
        <v>7</v>
      </c>
      <c r="I74" s="425" t="s">
        <v>14</v>
      </c>
      <c r="J74" s="427">
        <v>4.2</v>
      </c>
      <c r="K74" s="425" t="s">
        <v>50</v>
      </c>
      <c r="L74" s="428" t="s">
        <v>65</v>
      </c>
      <c r="M74" s="429" t="s">
        <v>49</v>
      </c>
      <c r="N74" s="19">
        <f>IF((VLOOKUP(I74,'8Příloha_2_ceník_pravid_úklid'!$B$9:$I$30,8,0))=0,VLOOKUP(I74,'8Příloha_2_ceník_pravid_úklid'!$B$9:$K$30,10,0),VLOOKUP(I74,'8Příloha_2_ceník_pravid_úklid'!$B$9:$I$30,8,0))</f>
        <v>0</v>
      </c>
      <c r="O74" s="20">
        <v>2</v>
      </c>
      <c r="P74" s="20">
        <v>1</v>
      </c>
      <c r="Q74" s="20">
        <v>0</v>
      </c>
      <c r="R74" s="20">
        <v>0</v>
      </c>
      <c r="S74" s="21">
        <f>NETWORKDAYS.INTL(DATE(2018,1,1),DATE(2018,12,31),1,{"2018/1/1";"2018/3/30";"2018/4/2";"2018/5/1";"2018/5/8";"2018/7/5";"2018/7/6";"2018/09/28";"2018/11/17";"2018/12/24";"2018/12/25";"2018/12/26"})</f>
        <v>250</v>
      </c>
      <c r="T74" s="21">
        <f t="shared" si="5"/>
        <v>115</v>
      </c>
      <c r="U74" s="21">
        <f t="shared" si="6"/>
        <v>365</v>
      </c>
      <c r="V74" s="144">
        <f t="shared" si="7"/>
        <v>500</v>
      </c>
      <c r="W74" s="140">
        <f t="shared" si="8"/>
        <v>0</v>
      </c>
      <c r="X74" s="141">
        <f t="shared" si="9"/>
        <v>0</v>
      </c>
      <c r="Y74" s="141">
        <v>0</v>
      </c>
    </row>
    <row r="75" spans="1:25" ht="15" x14ac:dyDescent="0.25">
      <c r="A75" s="138" t="s">
        <v>1570</v>
      </c>
      <c r="B75" s="412" t="s">
        <v>54</v>
      </c>
      <c r="C75" s="412" t="s">
        <v>223</v>
      </c>
      <c r="D75" s="139" t="str">
        <f>VLOOKUP(C75,'Seznam HS - nemaš'!$A$1:$B$96,2,FALSE)</f>
        <v>455400</v>
      </c>
      <c r="E75" s="443">
        <v>130</v>
      </c>
      <c r="F75" s="426" t="s">
        <v>383</v>
      </c>
      <c r="G75" s="426"/>
      <c r="H75" s="28">
        <f>+IF(ISBLANK(I75),0,VLOOKUP(I75,'8Příloha_2_ceník_pravid_úklid'!$B$9:$C$30,2,0))</f>
        <v>6</v>
      </c>
      <c r="I75" s="425" t="s">
        <v>1</v>
      </c>
      <c r="J75" s="427">
        <v>13.2</v>
      </c>
      <c r="K75" s="425" t="s">
        <v>51</v>
      </c>
      <c r="L75" s="428" t="s">
        <v>65</v>
      </c>
      <c r="M75" s="429" t="s">
        <v>49</v>
      </c>
      <c r="N75" s="19">
        <f>IF((VLOOKUP(I75,'8Příloha_2_ceník_pravid_úklid'!$B$9:$I$30,8,0))=0,VLOOKUP(I75,'8Příloha_2_ceník_pravid_úklid'!$B$9:$K$30,10,0),VLOOKUP(I75,'8Příloha_2_ceník_pravid_úklid'!$B$9:$I$30,8,0))</f>
        <v>0</v>
      </c>
      <c r="O75" s="20">
        <v>2</v>
      </c>
      <c r="P75" s="20">
        <v>1</v>
      </c>
      <c r="Q75" s="20">
        <v>0</v>
      </c>
      <c r="R75" s="20">
        <v>0</v>
      </c>
      <c r="S75" s="21">
        <f>NETWORKDAYS.INTL(DATE(2018,1,1),DATE(2018,12,31),1,{"2018/1/1";"2018/3/30";"2018/4/2";"2018/5/1";"2018/5/8";"2018/7/5";"2018/7/6";"2018/09/28";"2018/11/17";"2018/12/24";"2018/12/25";"2018/12/26"})</f>
        <v>250</v>
      </c>
      <c r="T75" s="21">
        <f t="shared" si="5"/>
        <v>115</v>
      </c>
      <c r="U75" s="21">
        <f t="shared" si="6"/>
        <v>365</v>
      </c>
      <c r="V75" s="144">
        <f t="shared" si="7"/>
        <v>500</v>
      </c>
      <c r="W75" s="140">
        <f t="shared" si="8"/>
        <v>0</v>
      </c>
      <c r="X75" s="141">
        <f t="shared" si="9"/>
        <v>0</v>
      </c>
      <c r="Y75" s="141">
        <v>0</v>
      </c>
    </row>
    <row r="76" spans="1:25" ht="15" x14ac:dyDescent="0.25">
      <c r="A76" s="138" t="s">
        <v>1570</v>
      </c>
      <c r="B76" s="412" t="s">
        <v>54</v>
      </c>
      <c r="C76" s="412" t="s">
        <v>223</v>
      </c>
      <c r="D76" s="139" t="str">
        <f>VLOOKUP(C76,'Seznam HS - nemaš'!$A$1:$B$96,2,FALSE)</f>
        <v>455400</v>
      </c>
      <c r="E76" s="443">
        <v>131</v>
      </c>
      <c r="F76" s="426" t="s">
        <v>565</v>
      </c>
      <c r="G76" s="426"/>
      <c r="H76" s="28">
        <f>+IF(ISBLANK(I76),0,VLOOKUP(I76,'8Příloha_2_ceník_pravid_úklid'!$B$9:$C$30,2,0))</f>
        <v>2</v>
      </c>
      <c r="I76" s="425" t="s">
        <v>2</v>
      </c>
      <c r="J76" s="427">
        <v>18</v>
      </c>
      <c r="K76" s="425" t="s">
        <v>51</v>
      </c>
      <c r="L76" s="428" t="s">
        <v>65</v>
      </c>
      <c r="M76" s="429" t="s">
        <v>49</v>
      </c>
      <c r="N76" s="19">
        <f>IF((VLOOKUP(I76,'8Příloha_2_ceník_pravid_úklid'!$B$9:$I$30,8,0))=0,VLOOKUP(I76,'8Příloha_2_ceník_pravid_úklid'!$B$9:$K$30,10,0),VLOOKUP(I76,'8Příloha_2_ceník_pravid_úklid'!$B$9:$I$30,8,0))</f>
        <v>0</v>
      </c>
      <c r="O76" s="20">
        <v>2</v>
      </c>
      <c r="P76" s="20">
        <v>1</v>
      </c>
      <c r="Q76" s="20">
        <v>0</v>
      </c>
      <c r="R76" s="20">
        <v>0</v>
      </c>
      <c r="S76" s="21">
        <f>NETWORKDAYS.INTL(DATE(2018,1,1),DATE(2018,12,31),1,{"2018/1/1";"2018/3/30";"2018/4/2";"2018/5/1";"2018/5/8";"2018/7/5";"2018/7/6";"2018/09/28";"2018/11/17";"2018/12/24";"2018/12/25";"2018/12/26"})</f>
        <v>250</v>
      </c>
      <c r="T76" s="21">
        <f t="shared" si="5"/>
        <v>115</v>
      </c>
      <c r="U76" s="21">
        <f t="shared" si="6"/>
        <v>365</v>
      </c>
      <c r="V76" s="144">
        <f t="shared" si="7"/>
        <v>500</v>
      </c>
      <c r="W76" s="140">
        <f t="shared" si="8"/>
        <v>0</v>
      </c>
      <c r="X76" s="141">
        <f t="shared" si="9"/>
        <v>0</v>
      </c>
      <c r="Y76" s="141">
        <v>0</v>
      </c>
    </row>
    <row r="77" spans="1:25" ht="15" x14ac:dyDescent="0.25">
      <c r="A77" s="157" t="s">
        <v>1570</v>
      </c>
      <c r="B77" s="451" t="s">
        <v>54</v>
      </c>
      <c r="C77" s="451" t="s">
        <v>223</v>
      </c>
      <c r="D77" s="212" t="str">
        <f>VLOOKUP(C77,'Seznam HS - nemaš'!$A$1:$B$96,2,FALSE)</f>
        <v>455400</v>
      </c>
      <c r="E77" s="452">
        <v>132</v>
      </c>
      <c r="F77" s="453" t="s">
        <v>612</v>
      </c>
      <c r="G77" s="453" t="s">
        <v>564</v>
      </c>
      <c r="H77" s="161">
        <f>+IF(ISBLANK(I77),0,VLOOKUP(I77,'8Příloha_2_ceník_pravid_úklid'!$B$9:$C$30,2,0))</f>
        <v>2</v>
      </c>
      <c r="I77" s="454" t="s">
        <v>2</v>
      </c>
      <c r="J77" s="455">
        <v>18</v>
      </c>
      <c r="K77" s="454" t="s">
        <v>51</v>
      </c>
      <c r="L77" s="456" t="s">
        <v>65</v>
      </c>
      <c r="M77" s="457" t="s">
        <v>49</v>
      </c>
      <c r="N77" s="165">
        <f>IF((VLOOKUP(I77,'8Příloha_2_ceník_pravid_úklid'!$B$9:$I$30,8,0))=0,VLOOKUP(I77,'8Příloha_2_ceník_pravid_úklid'!$B$9:$K$30,10,0),VLOOKUP(I77,'8Příloha_2_ceník_pravid_úklid'!$B$9:$I$30,8,0))</f>
        <v>0</v>
      </c>
      <c r="O77" s="166">
        <v>2</v>
      </c>
      <c r="P77" s="166">
        <v>1</v>
      </c>
      <c r="Q77" s="166">
        <v>0</v>
      </c>
      <c r="R77" s="166">
        <v>0</v>
      </c>
      <c r="S77" s="167">
        <f>NETWORKDAYS.INTL(DATE(2018,1,1),DATE(2018,12,31),1,{"2018/1/1";"2018/3/30";"2018/4/2";"2018/5/1";"2018/5/8";"2018/7/5";"2018/7/6";"2018/09/28";"2018/11/17";"2018/12/24";"2018/12/25";"2018/12/26"})</f>
        <v>250</v>
      </c>
      <c r="T77" s="167">
        <f t="shared" si="5"/>
        <v>115</v>
      </c>
      <c r="U77" s="167">
        <f t="shared" si="6"/>
        <v>365</v>
      </c>
      <c r="V77" s="168">
        <f t="shared" si="7"/>
        <v>500</v>
      </c>
      <c r="W77" s="169">
        <f t="shared" si="8"/>
        <v>0</v>
      </c>
      <c r="X77" s="170">
        <f t="shared" si="9"/>
        <v>0</v>
      </c>
      <c r="Y77" s="574">
        <v>0</v>
      </c>
    </row>
    <row r="78" spans="1:25" ht="15" x14ac:dyDescent="0.25">
      <c r="A78" s="458" t="s">
        <v>767</v>
      </c>
      <c r="B78" s="419" t="s">
        <v>328</v>
      </c>
      <c r="C78" s="419"/>
      <c r="D78" s="139">
        <f>VLOOKUP(C78,'Seznam HS - nemaš'!$A$1:$B$96,2,FALSE)</f>
        <v>0</v>
      </c>
      <c r="E78" s="420" t="s">
        <v>344</v>
      </c>
      <c r="F78" s="421" t="s">
        <v>336</v>
      </c>
      <c r="G78" s="421"/>
      <c r="H78" s="28">
        <f>+IF(ISBLANK(I78),0,VLOOKUP(I78,'8Příloha_2_ceník_pravid_úklid'!$B$9:$C$30,2,0))</f>
        <v>8</v>
      </c>
      <c r="I78" s="420" t="s">
        <v>11</v>
      </c>
      <c r="J78" s="422">
        <v>19.36</v>
      </c>
      <c r="K78" s="420" t="s">
        <v>1598</v>
      </c>
      <c r="L78" s="423" t="s">
        <v>22</v>
      </c>
      <c r="M78" s="424" t="s">
        <v>49</v>
      </c>
      <c r="N78" s="24">
        <f>IF((VLOOKUP(I78,'8Příloha_2_ceník_pravid_úklid'!$B$9:$I$30,8,0))=0,VLOOKUP(I78,'8Příloha_2_ceník_pravid_úklid'!$B$9:$K$30,10,0),VLOOKUP(I78,'8Příloha_2_ceník_pravid_úklid'!$B$9:$I$30,8,0))</f>
        <v>0</v>
      </c>
      <c r="O78" s="25">
        <v>2</v>
      </c>
      <c r="P78" s="25">
        <v>1</v>
      </c>
      <c r="Q78" s="25">
        <v>2</v>
      </c>
      <c r="R78" s="25">
        <v>1</v>
      </c>
      <c r="S78" s="26">
        <f>NETWORKDAYS.INTL(DATE(2018,1,1),DATE(2018,12,31),1,{"2018/1/1";"2018/3/30";"2018/4/2";"2018/5/1";"2018/5/8";"2018/7/5";"2018/7/6";"2018/09/28";"2018/11/17";"2018/12/24";"2018/12/25";"2018/12/26"})</f>
        <v>250</v>
      </c>
      <c r="T78" s="26">
        <f t="shared" si="5"/>
        <v>115</v>
      </c>
      <c r="U78" s="26">
        <f t="shared" si="6"/>
        <v>365</v>
      </c>
      <c r="V78" s="153">
        <f t="shared" si="7"/>
        <v>730</v>
      </c>
      <c r="W78" s="173">
        <f t="shared" si="8"/>
        <v>0</v>
      </c>
      <c r="X78" s="174">
        <f t="shared" si="9"/>
        <v>0</v>
      </c>
      <c r="Y78" s="174">
        <v>0</v>
      </c>
    </row>
    <row r="79" spans="1:25" ht="15" x14ac:dyDescent="0.25">
      <c r="A79" s="459" t="s">
        <v>767</v>
      </c>
      <c r="B79" s="412" t="s">
        <v>328</v>
      </c>
      <c r="C79" s="412"/>
      <c r="D79" s="139">
        <f>VLOOKUP(C79,'Seznam HS - nemaš'!$A$1:$B$96,2,FALSE)</f>
        <v>0</v>
      </c>
      <c r="E79" s="425" t="s">
        <v>345</v>
      </c>
      <c r="F79" s="426" t="s">
        <v>53</v>
      </c>
      <c r="G79" s="426"/>
      <c r="H79" s="28">
        <f>+IF(ISBLANK(I79),0,VLOOKUP(I79,'8Příloha_2_ceník_pravid_úklid'!$B$9:$C$30,2,0))</f>
        <v>6</v>
      </c>
      <c r="I79" s="425" t="s">
        <v>1</v>
      </c>
      <c r="J79" s="427">
        <v>19.55</v>
      </c>
      <c r="K79" s="425" t="s">
        <v>1598</v>
      </c>
      <c r="L79" s="428" t="s">
        <v>22</v>
      </c>
      <c r="M79" s="429" t="s">
        <v>49</v>
      </c>
      <c r="N79" s="19">
        <f>IF((VLOOKUP(I79,'8Příloha_2_ceník_pravid_úklid'!$B$9:$I$30,8,0))=0,VLOOKUP(I79,'8Příloha_2_ceník_pravid_úklid'!$B$9:$K$30,10,0),VLOOKUP(I79,'8Příloha_2_ceník_pravid_úklid'!$B$9:$I$30,8,0))</f>
        <v>0</v>
      </c>
      <c r="O79" s="20">
        <v>2</v>
      </c>
      <c r="P79" s="20">
        <v>1</v>
      </c>
      <c r="Q79" s="20">
        <v>2</v>
      </c>
      <c r="R79" s="20">
        <v>1</v>
      </c>
      <c r="S79" s="21">
        <f>NETWORKDAYS.INTL(DATE(2018,1,1),DATE(2018,12,31),1,{"2018/1/1";"2018/3/30";"2018/4/2";"2018/5/1";"2018/5/8";"2018/7/5";"2018/7/6";"2018/09/28";"2018/11/17";"2018/12/24";"2018/12/25";"2018/12/26"})</f>
        <v>250</v>
      </c>
      <c r="T79" s="21">
        <f t="shared" si="5"/>
        <v>115</v>
      </c>
      <c r="U79" s="21">
        <f t="shared" si="6"/>
        <v>365</v>
      </c>
      <c r="V79" s="144">
        <f t="shared" si="7"/>
        <v>730</v>
      </c>
      <c r="W79" s="140">
        <f t="shared" si="8"/>
        <v>0</v>
      </c>
      <c r="X79" s="141">
        <f t="shared" si="9"/>
        <v>0</v>
      </c>
      <c r="Y79" s="141">
        <v>0</v>
      </c>
    </row>
    <row r="80" spans="1:25" ht="15" x14ac:dyDescent="0.25">
      <c r="A80" s="460" t="s">
        <v>767</v>
      </c>
      <c r="B80" s="437" t="s">
        <v>328</v>
      </c>
      <c r="C80" s="437"/>
      <c r="D80" s="535">
        <f>VLOOKUP(C80,'Seznam HS - nemaš'!$A$1:$B$96,2,FALSE)</f>
        <v>0</v>
      </c>
      <c r="E80" s="438" t="s">
        <v>347</v>
      </c>
      <c r="F80" s="439" t="s">
        <v>766</v>
      </c>
      <c r="G80" s="439"/>
      <c r="H80" s="224">
        <f>+IF(ISBLANK(I80),0,VLOOKUP(I80,'8Příloha_2_ceník_pravid_úklid'!$B$9:$C$30,2,0))</f>
        <v>11</v>
      </c>
      <c r="I80" s="438" t="s">
        <v>7</v>
      </c>
      <c r="J80" s="440">
        <v>5.0599999999999996</v>
      </c>
      <c r="K80" s="438" t="s">
        <v>51</v>
      </c>
      <c r="L80" s="441" t="s">
        <v>387</v>
      </c>
      <c r="M80" s="442"/>
      <c r="N80" s="229" t="s">
        <v>501</v>
      </c>
      <c r="O80" s="230">
        <v>0</v>
      </c>
      <c r="P80" s="230">
        <v>0</v>
      </c>
      <c r="Q80" s="230">
        <v>0</v>
      </c>
      <c r="R80" s="230">
        <v>0</v>
      </c>
      <c r="S80" s="231">
        <f>NETWORKDAYS.INTL(DATE(2018,1,1),DATE(2018,12,31),1,{"2018/1/1";"2018/3/30";"2018/4/2";"2018/5/1";"2018/5/8";"2018/7/5";"2018/7/6";"2018/09/28";"2018/11/17";"2018/12/24";"2018/12/25";"2018/12/26"})</f>
        <v>250</v>
      </c>
      <c r="T80" s="231">
        <f t="shared" si="5"/>
        <v>115</v>
      </c>
      <c r="U80" s="231">
        <f t="shared" si="6"/>
        <v>365</v>
      </c>
      <c r="V80" s="232">
        <f t="shared" si="7"/>
        <v>0</v>
      </c>
      <c r="W80" s="233">
        <f t="shared" si="8"/>
        <v>0</v>
      </c>
      <c r="X80" s="234">
        <f t="shared" si="9"/>
        <v>0</v>
      </c>
      <c r="Y80" s="234">
        <f t="shared" si="9"/>
        <v>0</v>
      </c>
    </row>
    <row r="81" spans="1:25" ht="15" x14ac:dyDescent="0.25">
      <c r="A81" s="276" t="s">
        <v>1599</v>
      </c>
      <c r="B81" s="433" t="s">
        <v>328</v>
      </c>
      <c r="C81" s="433" t="s">
        <v>141</v>
      </c>
      <c r="D81" s="139" t="str">
        <f>VLOOKUP(C81,'Seznam HS - nemaš'!$A$1:$B$96,2,FALSE)</f>
        <v>402100</v>
      </c>
      <c r="E81" s="434" t="s">
        <v>349</v>
      </c>
      <c r="F81" s="435" t="s">
        <v>561</v>
      </c>
      <c r="G81" s="435"/>
      <c r="H81" s="28">
        <f>+IF(ISBLANK(I81),0,VLOOKUP(I81,'8Příloha_2_ceník_pravid_úklid'!$B$9:$C$30,2,0))</f>
        <v>7</v>
      </c>
      <c r="I81" s="434" t="s">
        <v>14</v>
      </c>
      <c r="J81" s="436">
        <v>3.98</v>
      </c>
      <c r="K81" s="434" t="s">
        <v>50</v>
      </c>
      <c r="L81" s="445" t="s">
        <v>21</v>
      </c>
      <c r="M81" s="461" t="s">
        <v>49</v>
      </c>
      <c r="N81" s="19">
        <f>IF((VLOOKUP(I81,'8Příloha_2_ceník_pravid_úklid'!$B$9:$I$30,8,0))=0,VLOOKUP(I81,'8Příloha_2_ceník_pravid_úklid'!$B$9:$K$30,10,0),VLOOKUP(I81,'8Příloha_2_ceník_pravid_úklid'!$B$9:$I$30,8,0))</f>
        <v>0</v>
      </c>
      <c r="O81" s="20">
        <v>1</v>
      </c>
      <c r="P81" s="20">
        <v>1</v>
      </c>
      <c r="Q81" s="20">
        <v>0</v>
      </c>
      <c r="R81" s="20">
        <v>0</v>
      </c>
      <c r="S81" s="21">
        <f>NETWORKDAYS.INTL(DATE(2018,1,1),DATE(2018,12,31),1,{"2018/1/1";"2018/3/30";"2018/4/2";"2018/5/1";"2018/5/8";"2018/7/5";"2018/7/6";"2018/09/28";"2018/11/17";"2018/12/24";"2018/12/25";"2018/12/26"})</f>
        <v>250</v>
      </c>
      <c r="T81" s="21">
        <f t="shared" si="5"/>
        <v>115</v>
      </c>
      <c r="U81" s="21">
        <f t="shared" si="6"/>
        <v>365</v>
      </c>
      <c r="V81" s="144">
        <f t="shared" si="7"/>
        <v>250</v>
      </c>
      <c r="W81" s="140">
        <f t="shared" si="8"/>
        <v>0</v>
      </c>
      <c r="X81" s="141">
        <f t="shared" si="9"/>
        <v>0</v>
      </c>
      <c r="Y81" s="141">
        <v>0</v>
      </c>
    </row>
    <row r="82" spans="1:25" ht="15" x14ac:dyDescent="0.25">
      <c r="A82" s="276" t="s">
        <v>1599</v>
      </c>
      <c r="B82" s="433" t="s">
        <v>328</v>
      </c>
      <c r="C82" s="433" t="s">
        <v>141</v>
      </c>
      <c r="D82" s="139" t="str">
        <f>VLOOKUP(C82,'Seznam HS - nemaš'!$A$1:$B$96,2,FALSE)</f>
        <v>402100</v>
      </c>
      <c r="E82" s="434" t="s">
        <v>352</v>
      </c>
      <c r="F82" s="435" t="s">
        <v>552</v>
      </c>
      <c r="G82" s="435"/>
      <c r="H82" s="28">
        <f>+IF(ISBLANK(I82),0,VLOOKUP(I82,'8Příloha_2_ceník_pravid_úklid'!$B$9:$C$30,2,0))</f>
        <v>16</v>
      </c>
      <c r="I82" s="434" t="s">
        <v>6</v>
      </c>
      <c r="J82" s="436">
        <v>2.83</v>
      </c>
      <c r="K82" s="434" t="s">
        <v>50</v>
      </c>
      <c r="L82" s="445" t="s">
        <v>21</v>
      </c>
      <c r="M82" s="461" t="s">
        <v>49</v>
      </c>
      <c r="N82" s="19">
        <f>IF((VLOOKUP(I82,'8Příloha_2_ceník_pravid_úklid'!$B$9:$I$30,8,0))=0,VLOOKUP(I82,'8Příloha_2_ceník_pravid_úklid'!$B$9:$K$30,10,0),VLOOKUP(I82,'8Příloha_2_ceník_pravid_úklid'!$B$9:$I$30,8,0))</f>
        <v>0</v>
      </c>
      <c r="O82" s="20">
        <v>1</v>
      </c>
      <c r="P82" s="20">
        <v>1</v>
      </c>
      <c r="Q82" s="20">
        <v>0</v>
      </c>
      <c r="R82" s="20">
        <v>0</v>
      </c>
      <c r="S82" s="21">
        <f>NETWORKDAYS.INTL(DATE(2018,1,1),DATE(2018,12,31),1,{"2018/1/1";"2018/3/30";"2018/4/2";"2018/5/1";"2018/5/8";"2018/7/5";"2018/7/6";"2018/09/28";"2018/11/17";"2018/12/24";"2018/12/25";"2018/12/26"})</f>
        <v>250</v>
      </c>
      <c r="T82" s="21">
        <f t="shared" si="5"/>
        <v>115</v>
      </c>
      <c r="U82" s="21">
        <f t="shared" si="6"/>
        <v>365</v>
      </c>
      <c r="V82" s="144">
        <f t="shared" si="7"/>
        <v>250</v>
      </c>
      <c r="W82" s="140">
        <f t="shared" si="8"/>
        <v>0</v>
      </c>
      <c r="X82" s="141">
        <f t="shared" si="9"/>
        <v>0</v>
      </c>
      <c r="Y82" s="141">
        <v>0</v>
      </c>
    </row>
    <row r="83" spans="1:25" ht="15" x14ac:dyDescent="0.25">
      <c r="A83" s="276" t="s">
        <v>1599</v>
      </c>
      <c r="B83" s="433" t="s">
        <v>328</v>
      </c>
      <c r="C83" s="433" t="s">
        <v>173</v>
      </c>
      <c r="D83" s="139" t="str">
        <f>VLOOKUP(C83,'Seznam HS - nemaš'!$A$1:$B$96,2,FALSE)</f>
        <v>411401</v>
      </c>
      <c r="E83" s="434" t="s">
        <v>354</v>
      </c>
      <c r="F83" s="435" t="s">
        <v>53</v>
      </c>
      <c r="G83" s="154" t="s">
        <v>1600</v>
      </c>
      <c r="H83" s="28">
        <f>+IF(ISBLANK(I83),0,VLOOKUP(I83,'8Příloha_2_ceník_pravid_úklid'!$B$9:$C$30,2,0))</f>
        <v>6</v>
      </c>
      <c r="I83" s="434" t="s">
        <v>1</v>
      </c>
      <c r="J83" s="436">
        <v>19.190000000000001</v>
      </c>
      <c r="K83" s="434" t="s">
        <v>50</v>
      </c>
      <c r="L83" s="445" t="s">
        <v>21</v>
      </c>
      <c r="M83" s="461" t="s">
        <v>49</v>
      </c>
      <c r="N83" s="19">
        <f>IF((VLOOKUP(I83,'8Příloha_2_ceník_pravid_úklid'!$B$9:$I$30,8,0))=0,VLOOKUP(I83,'8Příloha_2_ceník_pravid_úklid'!$B$9:$K$30,10,0),VLOOKUP(I83,'8Příloha_2_ceník_pravid_úklid'!$B$9:$I$30,8,0))</f>
        <v>0</v>
      </c>
      <c r="O83" s="20">
        <v>1</v>
      </c>
      <c r="P83" s="20">
        <v>1</v>
      </c>
      <c r="Q83" s="20">
        <v>0</v>
      </c>
      <c r="R83" s="20">
        <v>0</v>
      </c>
      <c r="S83" s="21">
        <f>NETWORKDAYS.INTL(DATE(2018,1,1),DATE(2018,12,31),1,{"2018/1/1";"2018/3/30";"2018/4/2";"2018/5/1";"2018/5/8";"2018/7/5";"2018/7/6";"2018/09/28";"2018/11/17";"2018/12/24";"2018/12/25";"2018/12/26"})</f>
        <v>250</v>
      </c>
      <c r="T83" s="21">
        <f t="shared" si="5"/>
        <v>115</v>
      </c>
      <c r="U83" s="21">
        <f t="shared" si="6"/>
        <v>365</v>
      </c>
      <c r="V83" s="144">
        <f t="shared" si="7"/>
        <v>250</v>
      </c>
      <c r="W83" s="140">
        <f t="shared" si="8"/>
        <v>0</v>
      </c>
      <c r="X83" s="141">
        <f t="shared" si="9"/>
        <v>0</v>
      </c>
      <c r="Y83" s="141">
        <v>0</v>
      </c>
    </row>
    <row r="84" spans="1:25" ht="15" x14ac:dyDescent="0.25">
      <c r="A84" s="276" t="s">
        <v>1599</v>
      </c>
      <c r="B84" s="433" t="s">
        <v>328</v>
      </c>
      <c r="C84" s="433" t="s">
        <v>173</v>
      </c>
      <c r="D84" s="139" t="str">
        <f>VLOOKUP(C84,'Seznam HS - nemaš'!$A$1:$B$96,2,FALSE)</f>
        <v>411401</v>
      </c>
      <c r="E84" s="434" t="s">
        <v>356</v>
      </c>
      <c r="F84" s="435" t="s">
        <v>567</v>
      </c>
      <c r="G84" s="435"/>
      <c r="H84" s="28">
        <f>+IF(ISBLANK(I84),0,VLOOKUP(I84,'8Příloha_2_ceník_pravid_úklid'!$B$9:$C$30,2,0))</f>
        <v>15</v>
      </c>
      <c r="I84" s="434" t="s">
        <v>90</v>
      </c>
      <c r="J84" s="436">
        <v>9.36</v>
      </c>
      <c r="K84" s="434" t="s">
        <v>50</v>
      </c>
      <c r="L84" s="445" t="s">
        <v>21</v>
      </c>
      <c r="M84" s="461" t="s">
        <v>49</v>
      </c>
      <c r="N84" s="19">
        <f>IF((VLOOKUP(I84,'8Příloha_2_ceník_pravid_úklid'!$B$9:$I$30,8,0))=0,VLOOKUP(I84,'8Příloha_2_ceník_pravid_úklid'!$B$9:$K$30,10,0),VLOOKUP(I84,'8Příloha_2_ceník_pravid_úklid'!$B$9:$I$30,8,0))</f>
        <v>0</v>
      </c>
      <c r="O84" s="20">
        <v>1</v>
      </c>
      <c r="P84" s="20">
        <v>1</v>
      </c>
      <c r="Q84" s="20">
        <v>0</v>
      </c>
      <c r="R84" s="20">
        <v>0</v>
      </c>
      <c r="S84" s="21">
        <f>NETWORKDAYS.INTL(DATE(2018,1,1),DATE(2018,12,31),1,{"2018/1/1";"2018/3/30";"2018/4/2";"2018/5/1";"2018/5/8";"2018/7/5";"2018/7/6";"2018/09/28";"2018/11/17";"2018/12/24";"2018/12/25";"2018/12/26"})</f>
        <v>250</v>
      </c>
      <c r="T84" s="21">
        <f t="shared" si="5"/>
        <v>115</v>
      </c>
      <c r="U84" s="21">
        <f t="shared" si="6"/>
        <v>365</v>
      </c>
      <c r="V84" s="144">
        <f t="shared" si="7"/>
        <v>250</v>
      </c>
      <c r="W84" s="140">
        <f t="shared" si="8"/>
        <v>0</v>
      </c>
      <c r="X84" s="141">
        <f t="shared" si="9"/>
        <v>0</v>
      </c>
      <c r="Y84" s="141">
        <v>0</v>
      </c>
    </row>
    <row r="85" spans="1:25" ht="15" x14ac:dyDescent="0.25">
      <c r="A85" s="276" t="s">
        <v>1599</v>
      </c>
      <c r="B85" s="433" t="s">
        <v>328</v>
      </c>
      <c r="C85" s="433" t="s">
        <v>173</v>
      </c>
      <c r="D85" s="139" t="str">
        <f>VLOOKUP(C85,'Seznam HS - nemaš'!$A$1:$B$96,2,FALSE)</f>
        <v>411401</v>
      </c>
      <c r="E85" s="434" t="s">
        <v>358</v>
      </c>
      <c r="F85" s="435" t="s">
        <v>567</v>
      </c>
      <c r="G85" s="435"/>
      <c r="H85" s="28">
        <f>+IF(ISBLANK(I85),0,VLOOKUP(I85,'8Příloha_2_ceník_pravid_úklid'!$B$9:$C$30,2,0))</f>
        <v>15</v>
      </c>
      <c r="I85" s="434" t="s">
        <v>90</v>
      </c>
      <c r="J85" s="436">
        <v>8.89</v>
      </c>
      <c r="K85" s="434" t="s">
        <v>50</v>
      </c>
      <c r="L85" s="445" t="s">
        <v>21</v>
      </c>
      <c r="M85" s="461" t="s">
        <v>49</v>
      </c>
      <c r="N85" s="19">
        <f>IF((VLOOKUP(I85,'8Příloha_2_ceník_pravid_úklid'!$B$9:$I$30,8,0))=0,VLOOKUP(I85,'8Příloha_2_ceník_pravid_úklid'!$B$9:$K$30,10,0),VLOOKUP(I85,'8Příloha_2_ceník_pravid_úklid'!$B$9:$I$30,8,0))</f>
        <v>0</v>
      </c>
      <c r="O85" s="20">
        <v>1</v>
      </c>
      <c r="P85" s="20">
        <v>1</v>
      </c>
      <c r="Q85" s="20">
        <v>0</v>
      </c>
      <c r="R85" s="20">
        <v>0</v>
      </c>
      <c r="S85" s="21">
        <f>NETWORKDAYS.INTL(DATE(2018,1,1),DATE(2018,12,31),1,{"2018/1/1";"2018/3/30";"2018/4/2";"2018/5/1";"2018/5/8";"2018/7/5";"2018/7/6";"2018/09/28";"2018/11/17";"2018/12/24";"2018/12/25";"2018/12/26"})</f>
        <v>250</v>
      </c>
      <c r="T85" s="21">
        <f t="shared" si="5"/>
        <v>115</v>
      </c>
      <c r="U85" s="21">
        <f t="shared" si="6"/>
        <v>365</v>
      </c>
      <c r="V85" s="144">
        <f t="shared" si="7"/>
        <v>250</v>
      </c>
      <c r="W85" s="140">
        <f t="shared" si="8"/>
        <v>0</v>
      </c>
      <c r="X85" s="141">
        <f t="shared" si="9"/>
        <v>0</v>
      </c>
      <c r="Y85" s="141">
        <v>0</v>
      </c>
    </row>
    <row r="86" spans="1:25" ht="15" x14ac:dyDescent="0.25">
      <c r="A86" s="276" t="s">
        <v>1599</v>
      </c>
      <c r="B86" s="433" t="s">
        <v>328</v>
      </c>
      <c r="C86" s="433" t="s">
        <v>173</v>
      </c>
      <c r="D86" s="139" t="str">
        <f>VLOOKUP(C86,'Seznam HS - nemaš'!$A$1:$B$96,2,FALSE)</f>
        <v>411401</v>
      </c>
      <c r="E86" s="434" t="s">
        <v>360</v>
      </c>
      <c r="F86" s="435" t="s">
        <v>567</v>
      </c>
      <c r="G86" s="435"/>
      <c r="H86" s="28">
        <f>+IF(ISBLANK(I86),0,VLOOKUP(I86,'8Příloha_2_ceník_pravid_úklid'!$B$9:$C$30,2,0))</f>
        <v>15</v>
      </c>
      <c r="I86" s="434" t="s">
        <v>90</v>
      </c>
      <c r="J86" s="436">
        <v>8.86</v>
      </c>
      <c r="K86" s="434" t="s">
        <v>50</v>
      </c>
      <c r="L86" s="445" t="s">
        <v>21</v>
      </c>
      <c r="M86" s="461" t="s">
        <v>49</v>
      </c>
      <c r="N86" s="19">
        <f>IF((VLOOKUP(I86,'8Příloha_2_ceník_pravid_úklid'!$B$9:$I$30,8,0))=0,VLOOKUP(I86,'8Příloha_2_ceník_pravid_úklid'!$B$9:$K$30,10,0),VLOOKUP(I86,'8Příloha_2_ceník_pravid_úklid'!$B$9:$I$30,8,0))</f>
        <v>0</v>
      </c>
      <c r="O86" s="20">
        <v>1</v>
      </c>
      <c r="P86" s="20">
        <v>1</v>
      </c>
      <c r="Q86" s="20">
        <v>0</v>
      </c>
      <c r="R86" s="20">
        <v>0</v>
      </c>
      <c r="S86" s="21">
        <f>NETWORKDAYS.INTL(DATE(2018,1,1),DATE(2018,12,31),1,{"2018/1/1";"2018/3/30";"2018/4/2";"2018/5/1";"2018/5/8";"2018/7/5";"2018/7/6";"2018/09/28";"2018/11/17";"2018/12/24";"2018/12/25";"2018/12/26"})</f>
        <v>250</v>
      </c>
      <c r="T86" s="21">
        <f t="shared" si="5"/>
        <v>115</v>
      </c>
      <c r="U86" s="21">
        <f t="shared" si="6"/>
        <v>365</v>
      </c>
      <c r="V86" s="144">
        <f t="shared" si="7"/>
        <v>250</v>
      </c>
      <c r="W86" s="140">
        <f t="shared" si="8"/>
        <v>0</v>
      </c>
      <c r="X86" s="141">
        <f t="shared" si="9"/>
        <v>0</v>
      </c>
      <c r="Y86" s="141">
        <v>0</v>
      </c>
    </row>
    <row r="87" spans="1:25" ht="15" x14ac:dyDescent="0.25">
      <c r="A87" s="138" t="s">
        <v>1601</v>
      </c>
      <c r="B87" s="412" t="s">
        <v>328</v>
      </c>
      <c r="C87" s="412" t="s">
        <v>141</v>
      </c>
      <c r="D87" s="139" t="str">
        <f>VLOOKUP(C87,'Seznam HS - nemaš'!$A$1:$B$96,2,FALSE)</f>
        <v>402100</v>
      </c>
      <c r="E87" s="462" t="s">
        <v>362</v>
      </c>
      <c r="F87" s="426" t="s">
        <v>612</v>
      </c>
      <c r="G87" s="426"/>
      <c r="H87" s="28">
        <f>+IF(ISBLANK(I87),0,VLOOKUP(I87,'8Příloha_2_ceník_pravid_úklid'!$B$9:$C$30,2,0))</f>
        <v>2</v>
      </c>
      <c r="I87" s="434" t="s">
        <v>2</v>
      </c>
      <c r="J87" s="427">
        <v>15.23</v>
      </c>
      <c r="K87" s="425" t="s">
        <v>50</v>
      </c>
      <c r="L87" s="428" t="s">
        <v>1602</v>
      </c>
      <c r="M87" s="429" t="s">
        <v>49</v>
      </c>
      <c r="N87" s="19">
        <f>IF((VLOOKUP(I87,'8Příloha_2_ceník_pravid_úklid'!$B$9:$I$30,8,0))=0,VLOOKUP(I87,'8Příloha_2_ceník_pravid_úklid'!$B$9:$K$30,10,0),VLOOKUP(I87,'8Příloha_2_ceník_pravid_úklid'!$B$9:$I$30,8,0))</f>
        <v>0</v>
      </c>
      <c r="O87" s="20">
        <v>1</v>
      </c>
      <c r="P87" s="20">
        <v>1</v>
      </c>
      <c r="Q87" s="20">
        <v>1</v>
      </c>
      <c r="R87" s="20">
        <v>1</v>
      </c>
      <c r="S87" s="21">
        <f>NETWORKDAYS.INTL(DATE(2018,1,1),DATE(2018,12,31),1,{"2018/1/1";"2018/3/30";"2018/4/2";"2018/5/1";"2018/5/8";"2018/7/5";"2018/7/6";"2018/09/28";"2018/11/17";"2018/12/24";"2018/12/25";"2018/12/26"})</f>
        <v>250</v>
      </c>
      <c r="T87" s="21">
        <f t="shared" si="5"/>
        <v>115</v>
      </c>
      <c r="U87" s="21">
        <f t="shared" si="6"/>
        <v>365</v>
      </c>
      <c r="V87" s="144">
        <f t="shared" si="7"/>
        <v>365</v>
      </c>
      <c r="W87" s="140">
        <f t="shared" si="8"/>
        <v>0</v>
      </c>
      <c r="X87" s="141">
        <f t="shared" si="9"/>
        <v>0</v>
      </c>
      <c r="Y87" s="141">
        <v>0</v>
      </c>
    </row>
    <row r="88" spans="1:25" ht="15" x14ac:dyDescent="0.25">
      <c r="A88" s="138" t="s">
        <v>1601</v>
      </c>
      <c r="B88" s="412" t="s">
        <v>328</v>
      </c>
      <c r="C88" s="412" t="s">
        <v>141</v>
      </c>
      <c r="D88" s="139" t="str">
        <f>VLOOKUP(C88,'Seznam HS - nemaš'!$A$1:$B$96,2,FALSE)</f>
        <v>402100</v>
      </c>
      <c r="E88" s="462" t="s">
        <v>364</v>
      </c>
      <c r="F88" s="426" t="s">
        <v>565</v>
      </c>
      <c r="G88" s="426"/>
      <c r="H88" s="28">
        <f>+IF(ISBLANK(I88),0,VLOOKUP(I88,'8Příloha_2_ceník_pravid_úklid'!$B$9:$C$30,2,0))</f>
        <v>2</v>
      </c>
      <c r="I88" s="434" t="s">
        <v>2</v>
      </c>
      <c r="J88" s="427">
        <v>15.28</v>
      </c>
      <c r="K88" s="425" t="s">
        <v>50</v>
      </c>
      <c r="L88" s="428" t="s">
        <v>1602</v>
      </c>
      <c r="M88" s="429" t="s">
        <v>49</v>
      </c>
      <c r="N88" s="19">
        <f>IF((VLOOKUP(I88,'8Příloha_2_ceník_pravid_úklid'!$B$9:$I$30,8,0))=0,VLOOKUP(I88,'8Příloha_2_ceník_pravid_úklid'!$B$9:$K$30,10,0),VLOOKUP(I88,'8Příloha_2_ceník_pravid_úklid'!$B$9:$I$30,8,0))</f>
        <v>0</v>
      </c>
      <c r="O88" s="20">
        <v>1</v>
      </c>
      <c r="P88" s="20">
        <v>1</v>
      </c>
      <c r="Q88" s="20">
        <v>1</v>
      </c>
      <c r="R88" s="20">
        <v>1</v>
      </c>
      <c r="S88" s="21">
        <f>NETWORKDAYS.INTL(DATE(2018,1,1),DATE(2018,12,31),1,{"2018/1/1";"2018/3/30";"2018/4/2";"2018/5/1";"2018/5/8";"2018/7/5";"2018/7/6";"2018/09/28";"2018/11/17";"2018/12/24";"2018/12/25";"2018/12/26"})</f>
        <v>250</v>
      </c>
      <c r="T88" s="21">
        <f t="shared" si="5"/>
        <v>115</v>
      </c>
      <c r="U88" s="21">
        <f t="shared" si="6"/>
        <v>365</v>
      </c>
      <c r="V88" s="144">
        <f t="shared" si="7"/>
        <v>365</v>
      </c>
      <c r="W88" s="140">
        <f t="shared" si="8"/>
        <v>0</v>
      </c>
      <c r="X88" s="141">
        <f t="shared" si="9"/>
        <v>0</v>
      </c>
      <c r="Y88" s="141">
        <v>0</v>
      </c>
    </row>
    <row r="89" spans="1:25" ht="15" x14ac:dyDescent="0.25">
      <c r="A89" s="138" t="s">
        <v>1601</v>
      </c>
      <c r="B89" s="412" t="s">
        <v>328</v>
      </c>
      <c r="C89" s="412" t="s">
        <v>141</v>
      </c>
      <c r="D89" s="139" t="str">
        <f>VLOOKUP(C89,'Seznam HS - nemaš'!$A$1:$B$96,2,FALSE)</f>
        <v>402100</v>
      </c>
      <c r="E89" s="462" t="s">
        <v>366</v>
      </c>
      <c r="F89" s="426" t="s">
        <v>567</v>
      </c>
      <c r="G89" s="426"/>
      <c r="H89" s="28">
        <f>+IF(ISBLANK(I89),0,VLOOKUP(I89,'8Příloha_2_ceník_pravid_úklid'!$B$9:$C$30,2,0))</f>
        <v>15</v>
      </c>
      <c r="I89" s="434" t="s">
        <v>90</v>
      </c>
      <c r="J89" s="427">
        <v>15.39</v>
      </c>
      <c r="K89" s="425" t="s">
        <v>50</v>
      </c>
      <c r="L89" s="428" t="s">
        <v>1602</v>
      </c>
      <c r="M89" s="429" t="s">
        <v>49</v>
      </c>
      <c r="N89" s="19">
        <f>IF((VLOOKUP(I89,'8Příloha_2_ceník_pravid_úklid'!$B$9:$I$30,8,0))=0,VLOOKUP(I89,'8Příloha_2_ceník_pravid_úklid'!$B$9:$K$30,10,0),VLOOKUP(I89,'8Příloha_2_ceník_pravid_úklid'!$B$9:$I$30,8,0))</f>
        <v>0</v>
      </c>
      <c r="O89" s="20">
        <v>1</v>
      </c>
      <c r="P89" s="20">
        <v>1</v>
      </c>
      <c r="Q89" s="20">
        <v>1</v>
      </c>
      <c r="R89" s="20">
        <v>1</v>
      </c>
      <c r="S89" s="21">
        <f>NETWORKDAYS.INTL(DATE(2018,1,1),DATE(2018,12,31),1,{"2018/1/1";"2018/3/30";"2018/4/2";"2018/5/1";"2018/5/8";"2018/7/5";"2018/7/6";"2018/09/28";"2018/11/17";"2018/12/24";"2018/12/25";"2018/12/26"})</f>
        <v>250</v>
      </c>
      <c r="T89" s="21">
        <f t="shared" si="5"/>
        <v>115</v>
      </c>
      <c r="U89" s="21">
        <f t="shared" si="6"/>
        <v>365</v>
      </c>
      <c r="V89" s="144">
        <f t="shared" si="7"/>
        <v>365</v>
      </c>
      <c r="W89" s="140">
        <f t="shared" si="8"/>
        <v>0</v>
      </c>
      <c r="X89" s="141">
        <f t="shared" si="9"/>
        <v>0</v>
      </c>
      <c r="Y89" s="141">
        <v>0</v>
      </c>
    </row>
    <row r="90" spans="1:25" ht="15" x14ac:dyDescent="0.25">
      <c r="A90" s="138" t="s">
        <v>1601</v>
      </c>
      <c r="B90" s="412" t="s">
        <v>328</v>
      </c>
      <c r="C90" s="412" t="s">
        <v>141</v>
      </c>
      <c r="D90" s="139" t="str">
        <f>VLOOKUP(C90,'Seznam HS - nemaš'!$A$1:$B$96,2,FALSE)</f>
        <v>402100</v>
      </c>
      <c r="E90" s="462" t="s">
        <v>367</v>
      </c>
      <c r="F90" s="426" t="s">
        <v>567</v>
      </c>
      <c r="G90" s="426"/>
      <c r="H90" s="28">
        <f>+IF(ISBLANK(I90),0,VLOOKUP(I90,'8Příloha_2_ceník_pravid_úklid'!$B$9:$C$30,2,0))</f>
        <v>15</v>
      </c>
      <c r="I90" s="434" t="s">
        <v>90</v>
      </c>
      <c r="J90" s="427">
        <v>15.39</v>
      </c>
      <c r="K90" s="425" t="s">
        <v>50</v>
      </c>
      <c r="L90" s="428" t="s">
        <v>1602</v>
      </c>
      <c r="M90" s="429" t="s">
        <v>49</v>
      </c>
      <c r="N90" s="19">
        <f>IF((VLOOKUP(I90,'8Příloha_2_ceník_pravid_úklid'!$B$9:$I$30,8,0))=0,VLOOKUP(I90,'8Příloha_2_ceník_pravid_úklid'!$B$9:$K$30,10,0),VLOOKUP(I90,'8Příloha_2_ceník_pravid_úklid'!$B$9:$I$30,8,0))</f>
        <v>0</v>
      </c>
      <c r="O90" s="20">
        <v>1</v>
      </c>
      <c r="P90" s="20">
        <v>1</v>
      </c>
      <c r="Q90" s="20">
        <v>1</v>
      </c>
      <c r="R90" s="20">
        <v>1</v>
      </c>
      <c r="S90" s="21">
        <f>NETWORKDAYS.INTL(DATE(2018,1,1),DATE(2018,12,31),1,{"2018/1/1";"2018/3/30";"2018/4/2";"2018/5/1";"2018/5/8";"2018/7/5";"2018/7/6";"2018/09/28";"2018/11/17";"2018/12/24";"2018/12/25";"2018/12/26"})</f>
        <v>250</v>
      </c>
      <c r="T90" s="21">
        <f t="shared" si="5"/>
        <v>115</v>
      </c>
      <c r="U90" s="21">
        <f t="shared" si="6"/>
        <v>365</v>
      </c>
      <c r="V90" s="144">
        <f t="shared" si="7"/>
        <v>365</v>
      </c>
      <c r="W90" s="140">
        <f t="shared" si="8"/>
        <v>0</v>
      </c>
      <c r="X90" s="141">
        <f t="shared" si="9"/>
        <v>0</v>
      </c>
      <c r="Y90" s="141">
        <v>0</v>
      </c>
    </row>
    <row r="91" spans="1:25" ht="15" x14ac:dyDescent="0.25">
      <c r="A91" s="138" t="s">
        <v>1601</v>
      </c>
      <c r="B91" s="412" t="s">
        <v>328</v>
      </c>
      <c r="C91" s="412" t="s">
        <v>141</v>
      </c>
      <c r="D91" s="139" t="str">
        <f>VLOOKUP(C91,'Seznam HS - nemaš'!$A$1:$B$96,2,FALSE)</f>
        <v>402100</v>
      </c>
      <c r="E91" s="462" t="s">
        <v>330</v>
      </c>
      <c r="F91" s="426" t="s">
        <v>567</v>
      </c>
      <c r="G91" s="426"/>
      <c r="H91" s="28">
        <f>+IF(ISBLANK(I91),0,VLOOKUP(I91,'8Příloha_2_ceník_pravid_úklid'!$B$9:$C$30,2,0))</f>
        <v>15</v>
      </c>
      <c r="I91" s="434" t="s">
        <v>90</v>
      </c>
      <c r="J91" s="427">
        <v>15.34</v>
      </c>
      <c r="K91" s="425" t="s">
        <v>50</v>
      </c>
      <c r="L91" s="428" t="s">
        <v>1602</v>
      </c>
      <c r="M91" s="429" t="s">
        <v>49</v>
      </c>
      <c r="N91" s="19">
        <f>IF((VLOOKUP(I91,'8Příloha_2_ceník_pravid_úklid'!$B$9:$I$30,8,0))=0,VLOOKUP(I91,'8Příloha_2_ceník_pravid_úklid'!$B$9:$K$30,10,0),VLOOKUP(I91,'8Příloha_2_ceník_pravid_úklid'!$B$9:$I$30,8,0))</f>
        <v>0</v>
      </c>
      <c r="O91" s="20">
        <v>1</v>
      </c>
      <c r="P91" s="20">
        <v>1</v>
      </c>
      <c r="Q91" s="20">
        <v>1</v>
      </c>
      <c r="R91" s="20">
        <v>1</v>
      </c>
      <c r="S91" s="21">
        <f>NETWORKDAYS.INTL(DATE(2018,1,1),DATE(2018,12,31),1,{"2018/1/1";"2018/3/30";"2018/4/2";"2018/5/1";"2018/5/8";"2018/7/5";"2018/7/6";"2018/09/28";"2018/11/17";"2018/12/24";"2018/12/25";"2018/12/26"})</f>
        <v>250</v>
      </c>
      <c r="T91" s="21">
        <f t="shared" si="5"/>
        <v>115</v>
      </c>
      <c r="U91" s="21">
        <f t="shared" si="6"/>
        <v>365</v>
      </c>
      <c r="V91" s="144">
        <f t="shared" si="7"/>
        <v>365</v>
      </c>
      <c r="W91" s="140">
        <f t="shared" si="8"/>
        <v>0</v>
      </c>
      <c r="X91" s="141">
        <f t="shared" si="9"/>
        <v>0</v>
      </c>
      <c r="Y91" s="141">
        <v>0</v>
      </c>
    </row>
    <row r="92" spans="1:25" ht="15" x14ac:dyDescent="0.25">
      <c r="A92" s="138" t="s">
        <v>1601</v>
      </c>
      <c r="B92" s="412" t="s">
        <v>328</v>
      </c>
      <c r="C92" s="412" t="s">
        <v>141</v>
      </c>
      <c r="D92" s="139" t="str">
        <f>VLOOKUP(C92,'Seznam HS - nemaš'!$A$1:$B$96,2,FALSE)</f>
        <v>402100</v>
      </c>
      <c r="E92" s="462" t="s">
        <v>464</v>
      </c>
      <c r="F92" s="426" t="s">
        <v>612</v>
      </c>
      <c r="G92" s="426"/>
      <c r="H92" s="28">
        <f>+IF(ISBLANK(I92),0,VLOOKUP(I92,'8Příloha_2_ceník_pravid_úklid'!$B$9:$C$30,2,0))</f>
        <v>2</v>
      </c>
      <c r="I92" s="425" t="s">
        <v>2</v>
      </c>
      <c r="J92" s="427">
        <v>15.34</v>
      </c>
      <c r="K92" s="425" t="s">
        <v>51</v>
      </c>
      <c r="L92" s="428" t="s">
        <v>1602</v>
      </c>
      <c r="M92" s="429" t="s">
        <v>49</v>
      </c>
      <c r="N92" s="19">
        <f>IF((VLOOKUP(I92,'8Příloha_2_ceník_pravid_úklid'!$B$9:$I$30,8,0))=0,VLOOKUP(I92,'8Příloha_2_ceník_pravid_úklid'!$B$9:$K$30,10,0),VLOOKUP(I92,'8Příloha_2_ceník_pravid_úklid'!$B$9:$I$30,8,0))</f>
        <v>0</v>
      </c>
      <c r="O92" s="20">
        <v>1</v>
      </c>
      <c r="P92" s="20">
        <v>1</v>
      </c>
      <c r="Q92" s="20">
        <v>1</v>
      </c>
      <c r="R92" s="20">
        <v>1</v>
      </c>
      <c r="S92" s="21">
        <f>NETWORKDAYS.INTL(DATE(2018,1,1),DATE(2018,12,31),1,{"2018/1/1";"2018/3/30";"2018/4/2";"2018/5/1";"2018/5/8";"2018/7/5";"2018/7/6";"2018/09/28";"2018/11/17";"2018/12/24";"2018/12/25";"2018/12/26"})</f>
        <v>250</v>
      </c>
      <c r="T92" s="21">
        <f t="shared" si="5"/>
        <v>115</v>
      </c>
      <c r="U92" s="21">
        <f t="shared" si="6"/>
        <v>365</v>
      </c>
      <c r="V92" s="144">
        <f t="shared" si="7"/>
        <v>365</v>
      </c>
      <c r="W92" s="140">
        <f t="shared" si="8"/>
        <v>0</v>
      </c>
      <c r="X92" s="141">
        <f t="shared" si="9"/>
        <v>0</v>
      </c>
      <c r="Y92" s="141">
        <v>0</v>
      </c>
    </row>
    <row r="93" spans="1:25" ht="15" x14ac:dyDescent="0.25">
      <c r="A93" s="138" t="s">
        <v>1601</v>
      </c>
      <c r="B93" s="412" t="s">
        <v>328</v>
      </c>
      <c r="C93" s="412" t="s">
        <v>141</v>
      </c>
      <c r="D93" s="139" t="str">
        <f>VLOOKUP(C93,'Seznam HS - nemaš'!$A$1:$B$96,2,FALSE)</f>
        <v>402100</v>
      </c>
      <c r="E93" s="462" t="s">
        <v>513</v>
      </c>
      <c r="F93" s="426" t="s">
        <v>567</v>
      </c>
      <c r="G93" s="426"/>
      <c r="H93" s="28">
        <f>+IF(ISBLANK(I93),0,VLOOKUP(I93,'8Příloha_2_ceník_pravid_úklid'!$B$9:$C$30,2,0))</f>
        <v>15</v>
      </c>
      <c r="I93" s="434" t="s">
        <v>90</v>
      </c>
      <c r="J93" s="427">
        <v>15.34</v>
      </c>
      <c r="K93" s="425" t="s">
        <v>50</v>
      </c>
      <c r="L93" s="428" t="s">
        <v>1602</v>
      </c>
      <c r="M93" s="429" t="s">
        <v>49</v>
      </c>
      <c r="N93" s="19">
        <f>IF((VLOOKUP(I93,'8Příloha_2_ceník_pravid_úklid'!$B$9:$I$30,8,0))=0,VLOOKUP(I93,'8Příloha_2_ceník_pravid_úklid'!$B$9:$K$30,10,0),VLOOKUP(I93,'8Příloha_2_ceník_pravid_úklid'!$B$9:$I$30,8,0))</f>
        <v>0</v>
      </c>
      <c r="O93" s="20">
        <v>1</v>
      </c>
      <c r="P93" s="20">
        <v>1</v>
      </c>
      <c r="Q93" s="20">
        <v>1</v>
      </c>
      <c r="R93" s="20">
        <v>1</v>
      </c>
      <c r="S93" s="21">
        <f>NETWORKDAYS.INTL(DATE(2018,1,1),DATE(2018,12,31),1,{"2018/1/1";"2018/3/30";"2018/4/2";"2018/5/1";"2018/5/8";"2018/7/5";"2018/7/6";"2018/09/28";"2018/11/17";"2018/12/24";"2018/12/25";"2018/12/26"})</f>
        <v>250</v>
      </c>
      <c r="T93" s="21">
        <f t="shared" si="5"/>
        <v>115</v>
      </c>
      <c r="U93" s="21">
        <f t="shared" si="6"/>
        <v>365</v>
      </c>
      <c r="V93" s="144">
        <f t="shared" si="7"/>
        <v>365</v>
      </c>
      <c r="W93" s="140">
        <f t="shared" si="8"/>
        <v>0</v>
      </c>
      <c r="X93" s="141">
        <f t="shared" si="9"/>
        <v>0</v>
      </c>
      <c r="Y93" s="141">
        <v>0</v>
      </c>
    </row>
    <row r="94" spans="1:25" ht="15" x14ac:dyDescent="0.25">
      <c r="A94" s="138" t="s">
        <v>1601</v>
      </c>
      <c r="B94" s="412" t="s">
        <v>328</v>
      </c>
      <c r="C94" s="412" t="s">
        <v>141</v>
      </c>
      <c r="D94" s="139" t="str">
        <f>VLOOKUP(C94,'Seznam HS - nemaš'!$A$1:$B$96,2,FALSE)</f>
        <v>402100</v>
      </c>
      <c r="E94" s="462" t="s">
        <v>514</v>
      </c>
      <c r="F94" s="426" t="s">
        <v>567</v>
      </c>
      <c r="G94" s="426"/>
      <c r="H94" s="28">
        <f>+IF(ISBLANK(I94),0,VLOOKUP(I94,'8Příloha_2_ceník_pravid_úklid'!$B$9:$C$30,2,0))</f>
        <v>15</v>
      </c>
      <c r="I94" s="434" t="s">
        <v>90</v>
      </c>
      <c r="J94" s="427">
        <v>15.39</v>
      </c>
      <c r="K94" s="425" t="s">
        <v>50</v>
      </c>
      <c r="L94" s="428" t="s">
        <v>1602</v>
      </c>
      <c r="M94" s="429" t="s">
        <v>49</v>
      </c>
      <c r="N94" s="19">
        <f>IF((VLOOKUP(I94,'8Příloha_2_ceník_pravid_úklid'!$B$9:$I$30,8,0))=0,VLOOKUP(I94,'8Příloha_2_ceník_pravid_úklid'!$B$9:$K$30,10,0),VLOOKUP(I94,'8Příloha_2_ceník_pravid_úklid'!$B$9:$I$30,8,0))</f>
        <v>0</v>
      </c>
      <c r="O94" s="20">
        <v>1</v>
      </c>
      <c r="P94" s="20">
        <v>1</v>
      </c>
      <c r="Q94" s="20">
        <v>1</v>
      </c>
      <c r="R94" s="20">
        <v>1</v>
      </c>
      <c r="S94" s="21">
        <f>NETWORKDAYS.INTL(DATE(2018,1,1),DATE(2018,12,31),1,{"2018/1/1";"2018/3/30";"2018/4/2";"2018/5/1";"2018/5/8";"2018/7/5";"2018/7/6";"2018/09/28";"2018/11/17";"2018/12/24";"2018/12/25";"2018/12/26"})</f>
        <v>250</v>
      </c>
      <c r="T94" s="21">
        <f t="shared" si="5"/>
        <v>115</v>
      </c>
      <c r="U94" s="21">
        <f t="shared" si="6"/>
        <v>365</v>
      </c>
      <c r="V94" s="144">
        <f t="shared" si="7"/>
        <v>365</v>
      </c>
      <c r="W94" s="140">
        <f t="shared" si="8"/>
        <v>0</v>
      </c>
      <c r="X94" s="141">
        <f t="shared" si="9"/>
        <v>0</v>
      </c>
      <c r="Y94" s="141">
        <v>0</v>
      </c>
    </row>
    <row r="95" spans="1:25" ht="15" x14ac:dyDescent="0.25">
      <c r="A95" s="138" t="s">
        <v>1601</v>
      </c>
      <c r="B95" s="412" t="s">
        <v>328</v>
      </c>
      <c r="C95" s="412" t="s">
        <v>141</v>
      </c>
      <c r="D95" s="139" t="str">
        <f>VLOOKUP(C95,'Seznam HS - nemaš'!$A$1:$B$96,2,FALSE)</f>
        <v>402100</v>
      </c>
      <c r="E95" s="462" t="s">
        <v>515</v>
      </c>
      <c r="F95" s="426" t="s">
        <v>567</v>
      </c>
      <c r="G95" s="426"/>
      <c r="H95" s="28">
        <f>+IF(ISBLANK(I95),0,VLOOKUP(I95,'8Příloha_2_ceník_pravid_úklid'!$B$9:$C$30,2,0))</f>
        <v>15</v>
      </c>
      <c r="I95" s="434" t="s">
        <v>90</v>
      </c>
      <c r="J95" s="427">
        <v>15.44</v>
      </c>
      <c r="K95" s="425" t="s">
        <v>50</v>
      </c>
      <c r="L95" s="428" t="s">
        <v>1602</v>
      </c>
      <c r="M95" s="429" t="s">
        <v>49</v>
      </c>
      <c r="N95" s="19">
        <f>IF((VLOOKUP(I95,'8Příloha_2_ceník_pravid_úklid'!$B$9:$I$30,8,0))=0,VLOOKUP(I95,'8Příloha_2_ceník_pravid_úklid'!$B$9:$K$30,10,0),VLOOKUP(I95,'8Příloha_2_ceník_pravid_úklid'!$B$9:$I$30,8,0))</f>
        <v>0</v>
      </c>
      <c r="O95" s="20">
        <v>1</v>
      </c>
      <c r="P95" s="20">
        <v>1</v>
      </c>
      <c r="Q95" s="20">
        <v>1</v>
      </c>
      <c r="R95" s="20">
        <v>1</v>
      </c>
      <c r="S95" s="21">
        <f>NETWORKDAYS.INTL(DATE(2018,1,1),DATE(2018,12,31),1,{"2018/1/1";"2018/3/30";"2018/4/2";"2018/5/1";"2018/5/8";"2018/7/5";"2018/7/6";"2018/09/28";"2018/11/17";"2018/12/24";"2018/12/25";"2018/12/26"})</f>
        <v>250</v>
      </c>
      <c r="T95" s="21">
        <f t="shared" si="5"/>
        <v>115</v>
      </c>
      <c r="U95" s="21">
        <f t="shared" si="6"/>
        <v>365</v>
      </c>
      <c r="V95" s="144">
        <f t="shared" si="7"/>
        <v>365</v>
      </c>
      <c r="W95" s="140">
        <f t="shared" si="8"/>
        <v>0</v>
      </c>
      <c r="X95" s="141">
        <f t="shared" si="9"/>
        <v>0</v>
      </c>
      <c r="Y95" s="141">
        <v>0</v>
      </c>
    </row>
    <row r="96" spans="1:25" ht="15" x14ac:dyDescent="0.25">
      <c r="A96" s="138" t="s">
        <v>1601</v>
      </c>
      <c r="B96" s="412" t="s">
        <v>328</v>
      </c>
      <c r="C96" s="412" t="s">
        <v>141</v>
      </c>
      <c r="D96" s="139" t="str">
        <f>VLOOKUP(C96,'Seznam HS - nemaš'!$A$1:$B$96,2,FALSE)</f>
        <v>402100</v>
      </c>
      <c r="E96" s="425" t="s">
        <v>517</v>
      </c>
      <c r="F96" s="426" t="s">
        <v>567</v>
      </c>
      <c r="G96" s="426"/>
      <c r="H96" s="28">
        <f>+IF(ISBLANK(I96),0,VLOOKUP(I96,'8Příloha_2_ceník_pravid_úklid'!$B$9:$C$30,2,0))</f>
        <v>15</v>
      </c>
      <c r="I96" s="434" t="s">
        <v>90</v>
      </c>
      <c r="J96" s="427">
        <v>15.61</v>
      </c>
      <c r="K96" s="425" t="s">
        <v>50</v>
      </c>
      <c r="L96" s="447" t="s">
        <v>1602</v>
      </c>
      <c r="M96" s="429" t="s">
        <v>49</v>
      </c>
      <c r="N96" s="19">
        <f>IF((VLOOKUP(I96,'8Příloha_2_ceník_pravid_úklid'!$B$9:$I$30,8,0))=0,VLOOKUP(I96,'8Příloha_2_ceník_pravid_úklid'!$B$9:$K$30,10,0),VLOOKUP(I96,'8Příloha_2_ceník_pravid_úklid'!$B$9:$I$30,8,0))</f>
        <v>0</v>
      </c>
      <c r="O96" s="20">
        <v>1</v>
      </c>
      <c r="P96" s="20">
        <v>1</v>
      </c>
      <c r="Q96" s="20">
        <v>1</v>
      </c>
      <c r="R96" s="20">
        <v>1</v>
      </c>
      <c r="S96" s="21">
        <f>NETWORKDAYS.INTL(DATE(2018,1,1),DATE(2018,12,31),1,{"2018/1/1";"2018/3/30";"2018/4/2";"2018/5/1";"2018/5/8";"2018/7/5";"2018/7/6";"2018/09/28";"2018/11/17";"2018/12/24";"2018/12/25";"2018/12/26"})</f>
        <v>250</v>
      </c>
      <c r="T96" s="21">
        <f t="shared" si="5"/>
        <v>115</v>
      </c>
      <c r="U96" s="21">
        <f t="shared" si="6"/>
        <v>365</v>
      </c>
      <c r="V96" s="144">
        <f t="shared" si="7"/>
        <v>365</v>
      </c>
      <c r="W96" s="140">
        <f t="shared" si="8"/>
        <v>0</v>
      </c>
      <c r="X96" s="141">
        <f t="shared" si="9"/>
        <v>0</v>
      </c>
      <c r="Y96" s="141">
        <v>0</v>
      </c>
    </row>
    <row r="97" spans="1:25" ht="15" x14ac:dyDescent="0.25">
      <c r="A97" s="138" t="s">
        <v>1601</v>
      </c>
      <c r="B97" s="412" t="s">
        <v>328</v>
      </c>
      <c r="C97" s="412" t="s">
        <v>141</v>
      </c>
      <c r="D97" s="139" t="str">
        <f>VLOOKUP(C97,'Seznam HS - nemaš'!$A$1:$B$96,2,FALSE)</f>
        <v>402100</v>
      </c>
      <c r="E97" s="425" t="s">
        <v>519</v>
      </c>
      <c r="F97" s="426" t="s">
        <v>564</v>
      </c>
      <c r="G97" s="426"/>
      <c r="H97" s="28">
        <f>+IF(ISBLANK(I97),0,VLOOKUP(I97,'8Příloha_2_ceník_pravid_úklid'!$B$9:$C$30,2,0))</f>
        <v>4</v>
      </c>
      <c r="I97" s="425" t="s">
        <v>9</v>
      </c>
      <c r="J97" s="427">
        <v>15.55</v>
      </c>
      <c r="K97" s="425" t="s">
        <v>52</v>
      </c>
      <c r="L97" s="445" t="s">
        <v>1603</v>
      </c>
      <c r="M97" s="429" t="s">
        <v>49</v>
      </c>
      <c r="N97" s="19">
        <f>IF((VLOOKUP(I97,'8Příloha_2_ceník_pravid_úklid'!$B$9:$I$30,8,0))=0,VLOOKUP(I97,'8Příloha_2_ceník_pravid_úklid'!$B$9:$K$30,10,0),VLOOKUP(I97,'8Příloha_2_ceník_pravid_úklid'!$B$9:$I$30,8,0))</f>
        <v>0</v>
      </c>
      <c r="O97" s="20">
        <v>1</v>
      </c>
      <c r="P97" s="20">
        <f>3/5</f>
        <v>0.6</v>
      </c>
      <c r="Q97" s="20">
        <v>0</v>
      </c>
      <c r="R97" s="20">
        <v>0</v>
      </c>
      <c r="S97" s="21">
        <f>NETWORKDAYS.INTL(DATE(2018,1,1),DATE(2018,12,31),1,{"2018/1/1";"2018/3/30";"2018/4/2";"2018/5/1";"2018/5/8";"2018/7/5";"2018/7/6";"2018/09/28";"2018/11/17";"2018/12/24";"2018/12/25";"2018/12/26"})</f>
        <v>250</v>
      </c>
      <c r="T97" s="21">
        <f t="shared" si="5"/>
        <v>115</v>
      </c>
      <c r="U97" s="21">
        <f t="shared" si="6"/>
        <v>365</v>
      </c>
      <c r="V97" s="144">
        <f t="shared" si="7"/>
        <v>150</v>
      </c>
      <c r="W97" s="140">
        <f t="shared" si="8"/>
        <v>0</v>
      </c>
      <c r="X97" s="141">
        <f t="shared" si="9"/>
        <v>0</v>
      </c>
      <c r="Y97" s="141">
        <v>0</v>
      </c>
    </row>
    <row r="98" spans="1:25" ht="15" x14ac:dyDescent="0.25">
      <c r="A98" s="138" t="s">
        <v>1601</v>
      </c>
      <c r="B98" s="412" t="s">
        <v>328</v>
      </c>
      <c r="C98" s="412" t="s">
        <v>141</v>
      </c>
      <c r="D98" s="139" t="str">
        <f>VLOOKUP(C98,'Seznam HS - nemaš'!$A$1:$B$96,2,FALSE)</f>
        <v>402100</v>
      </c>
      <c r="E98" s="425" t="s">
        <v>521</v>
      </c>
      <c r="F98" s="426" t="s">
        <v>1604</v>
      </c>
      <c r="G98" s="426"/>
      <c r="H98" s="28">
        <f>+IF(ISBLANK(I98),0,VLOOKUP(I98,'8Příloha_2_ceník_pravid_úklid'!$B$9:$C$30,2,0))</f>
        <v>4</v>
      </c>
      <c r="I98" s="425" t="s">
        <v>9</v>
      </c>
      <c r="J98" s="427">
        <v>15.28</v>
      </c>
      <c r="K98" s="425" t="s">
        <v>52</v>
      </c>
      <c r="L98" s="446" t="s">
        <v>1605</v>
      </c>
      <c r="M98" s="429" t="s">
        <v>49</v>
      </c>
      <c r="N98" s="19">
        <f>IF((VLOOKUP(I98,'8Příloha_2_ceník_pravid_úklid'!$B$9:$I$30,8,0))=0,VLOOKUP(I98,'8Příloha_2_ceník_pravid_úklid'!$B$9:$K$30,10,0),VLOOKUP(I98,'8Příloha_2_ceník_pravid_úklid'!$B$9:$I$30,8,0))</f>
        <v>0</v>
      </c>
      <c r="O98" s="20">
        <v>1</v>
      </c>
      <c r="P98" s="20">
        <f>2/5</f>
        <v>0.4</v>
      </c>
      <c r="Q98" s="20">
        <v>0</v>
      </c>
      <c r="R98" s="20">
        <v>0</v>
      </c>
      <c r="S98" s="21">
        <f>NETWORKDAYS.INTL(DATE(2018,1,1),DATE(2018,12,31),1,{"2018/1/1";"2018/3/30";"2018/4/2";"2018/5/1";"2018/5/8";"2018/7/5";"2018/7/6";"2018/09/28";"2018/11/17";"2018/12/24";"2018/12/25";"2018/12/26"})</f>
        <v>250</v>
      </c>
      <c r="T98" s="21">
        <f t="shared" si="5"/>
        <v>115</v>
      </c>
      <c r="U98" s="21">
        <f t="shared" si="6"/>
        <v>365</v>
      </c>
      <c r="V98" s="144">
        <f t="shared" si="7"/>
        <v>100</v>
      </c>
      <c r="W98" s="140">
        <f t="shared" si="8"/>
        <v>0</v>
      </c>
      <c r="X98" s="141">
        <f t="shared" si="9"/>
        <v>0</v>
      </c>
      <c r="Y98" s="141">
        <v>0</v>
      </c>
    </row>
    <row r="99" spans="1:25" ht="15" x14ac:dyDescent="0.25">
      <c r="A99" s="138" t="s">
        <v>1008</v>
      </c>
      <c r="B99" s="412" t="s">
        <v>328</v>
      </c>
      <c r="C99" s="412" t="s">
        <v>141</v>
      </c>
      <c r="D99" s="139" t="str">
        <f>VLOOKUP(C99,'Seznam HS - nemaš'!$A$1:$B$96,2,FALSE)</f>
        <v>402100</v>
      </c>
      <c r="E99" s="425" t="s">
        <v>502</v>
      </c>
      <c r="F99" s="426" t="s">
        <v>1010</v>
      </c>
      <c r="G99" s="426" t="s">
        <v>1010</v>
      </c>
      <c r="H99" s="28">
        <f>+IF(ISBLANK(I99),0,VLOOKUP(I99,'8Příloha_2_ceník_pravid_úklid'!$B$9:$C$30,2,0))</f>
        <v>18</v>
      </c>
      <c r="I99" s="425" t="s">
        <v>16</v>
      </c>
      <c r="J99" s="427">
        <v>141.32</v>
      </c>
      <c r="K99" s="425" t="s">
        <v>50</v>
      </c>
      <c r="L99" s="463" t="s">
        <v>487</v>
      </c>
      <c r="M99" s="429" t="s">
        <v>49</v>
      </c>
      <c r="N99" s="19">
        <f>IF((VLOOKUP(I99,'8Příloha_2_ceník_pravid_úklid'!$B$9:$I$30,8,0))=0,VLOOKUP(I99,'8Příloha_2_ceník_pravid_úklid'!$B$9:$K$30,10,0),VLOOKUP(I99,'8Příloha_2_ceník_pravid_úklid'!$B$9:$I$30,8,0))</f>
        <v>0</v>
      </c>
      <c r="O99" s="20">
        <v>1</v>
      </c>
      <c r="P99" s="20">
        <f>1/5</f>
        <v>0.2</v>
      </c>
      <c r="Q99" s="20">
        <v>0</v>
      </c>
      <c r="R99" s="20">
        <v>0</v>
      </c>
      <c r="S99" s="21">
        <f>NETWORKDAYS.INTL(DATE(2018,1,1),DATE(2018,12,31),1,{"2018/1/1";"2018/3/30";"2018/4/2";"2018/5/1";"2018/5/8";"2018/7/5";"2018/7/6";"2018/09/28";"2018/11/17";"2018/12/24";"2018/12/25";"2018/12/26"})</f>
        <v>250</v>
      </c>
      <c r="T99" s="21">
        <f t="shared" si="5"/>
        <v>115</v>
      </c>
      <c r="U99" s="21">
        <f t="shared" si="6"/>
        <v>365</v>
      </c>
      <c r="V99" s="144">
        <f t="shared" si="7"/>
        <v>50</v>
      </c>
      <c r="W99" s="140">
        <f t="shared" si="8"/>
        <v>0</v>
      </c>
      <c r="X99" s="141">
        <f t="shared" si="9"/>
        <v>0</v>
      </c>
      <c r="Y99" s="234">
        <v>0</v>
      </c>
    </row>
    <row r="100" spans="1:25" ht="15" x14ac:dyDescent="0.25">
      <c r="A100" s="276" t="s">
        <v>1601</v>
      </c>
      <c r="B100" s="433" t="s">
        <v>328</v>
      </c>
      <c r="C100" s="412" t="s">
        <v>141</v>
      </c>
      <c r="D100" s="139" t="str">
        <f>VLOOKUP(C100,'Seznam HS - nemaš'!$A$1:$B$96,2,FALSE)</f>
        <v>402100</v>
      </c>
      <c r="E100" s="434" t="s">
        <v>524</v>
      </c>
      <c r="F100" s="435" t="s">
        <v>710</v>
      </c>
      <c r="G100" s="435"/>
      <c r="H100" s="28">
        <f>+IF(ISBLANK(I100),0,VLOOKUP(I100,'8Příloha_2_ceník_pravid_úklid'!$B$9:$C$30,2,0))</f>
        <v>4</v>
      </c>
      <c r="I100" s="449" t="s">
        <v>9</v>
      </c>
      <c r="J100" s="436">
        <v>20.309999999999999</v>
      </c>
      <c r="K100" s="434" t="s">
        <v>51</v>
      </c>
      <c r="L100" s="434" t="s">
        <v>1606</v>
      </c>
      <c r="M100" s="461" t="s">
        <v>49</v>
      </c>
      <c r="N100" s="19">
        <f>IF((VLOOKUP(I100,'8Příloha_2_ceník_pravid_úklid'!$B$9:$I$30,8,0))=0,VLOOKUP(I100,'8Příloha_2_ceník_pravid_úklid'!$B$9:$K$30,10,0),VLOOKUP(I100,'8Příloha_2_ceník_pravid_úklid'!$B$9:$I$30,8,0))</f>
        <v>0</v>
      </c>
      <c r="O100" s="20">
        <v>1</v>
      </c>
      <c r="P100" s="20">
        <v>1</v>
      </c>
      <c r="Q100" s="20">
        <v>1</v>
      </c>
      <c r="R100" s="20">
        <v>1</v>
      </c>
      <c r="S100" s="21">
        <f>NETWORKDAYS.INTL(DATE(2018,1,1),DATE(2018,12,31),1,{"2018/1/1";"2018/3/30";"2018/4/2";"2018/5/1";"2018/5/8";"2018/7/5";"2018/7/6";"2018/09/28";"2018/11/17";"2018/12/24";"2018/12/25";"2018/12/26"})</f>
        <v>250</v>
      </c>
      <c r="T100" s="21">
        <f t="shared" si="5"/>
        <v>115</v>
      </c>
      <c r="U100" s="21">
        <f t="shared" si="6"/>
        <v>365</v>
      </c>
      <c r="V100" s="144">
        <f t="shared" si="7"/>
        <v>365</v>
      </c>
      <c r="W100" s="140">
        <f t="shared" si="8"/>
        <v>0</v>
      </c>
      <c r="X100" s="141">
        <f t="shared" si="9"/>
        <v>0</v>
      </c>
      <c r="Y100" s="141">
        <v>0</v>
      </c>
    </row>
    <row r="101" spans="1:25" ht="15" x14ac:dyDescent="0.25">
      <c r="A101" s="276" t="s">
        <v>1601</v>
      </c>
      <c r="B101" s="433" t="s">
        <v>328</v>
      </c>
      <c r="C101" s="412" t="s">
        <v>141</v>
      </c>
      <c r="D101" s="139" t="str">
        <f>VLOOKUP(C101,'Seznam HS - nemaš'!$A$1:$B$96,2,FALSE)</f>
        <v>402100</v>
      </c>
      <c r="E101" s="434" t="s">
        <v>1607</v>
      </c>
      <c r="F101" s="435" t="s">
        <v>1608</v>
      </c>
      <c r="G101" s="435"/>
      <c r="H101" s="28">
        <f>+IF(ISBLANK(I101),0,VLOOKUP(I101,'8Příloha_2_ceník_pravid_úklid'!$B$9:$C$30,2,0))</f>
        <v>7</v>
      </c>
      <c r="I101" s="434" t="s">
        <v>14</v>
      </c>
      <c r="J101" s="436">
        <v>5.8</v>
      </c>
      <c r="K101" s="434" t="s">
        <v>50</v>
      </c>
      <c r="L101" s="434" t="s">
        <v>1606</v>
      </c>
      <c r="M101" s="461" t="s">
        <v>49</v>
      </c>
      <c r="N101" s="19">
        <f>IF((VLOOKUP(I101,'8Příloha_2_ceník_pravid_úklid'!$B$9:$I$30,8,0))=0,VLOOKUP(I101,'8Příloha_2_ceník_pravid_úklid'!$B$9:$K$30,10,0),VLOOKUP(I101,'8Příloha_2_ceník_pravid_úklid'!$B$9:$I$30,8,0))</f>
        <v>0</v>
      </c>
      <c r="O101" s="20">
        <v>1</v>
      </c>
      <c r="P101" s="20">
        <v>1</v>
      </c>
      <c r="Q101" s="20">
        <v>1</v>
      </c>
      <c r="R101" s="20">
        <v>1</v>
      </c>
      <c r="S101" s="21">
        <f>NETWORKDAYS.INTL(DATE(2018,1,1),DATE(2018,12,31),1,{"2018/1/1";"2018/3/30";"2018/4/2";"2018/5/1";"2018/5/8";"2018/7/5";"2018/7/6";"2018/09/28";"2018/11/17";"2018/12/24";"2018/12/25";"2018/12/26"})</f>
        <v>250</v>
      </c>
      <c r="T101" s="21">
        <f t="shared" si="5"/>
        <v>115</v>
      </c>
      <c r="U101" s="21">
        <f t="shared" si="6"/>
        <v>365</v>
      </c>
      <c r="V101" s="144">
        <f t="shared" si="7"/>
        <v>365</v>
      </c>
      <c r="W101" s="140">
        <f t="shared" si="8"/>
        <v>0</v>
      </c>
      <c r="X101" s="141">
        <f t="shared" si="9"/>
        <v>0</v>
      </c>
      <c r="Y101" s="141">
        <v>0</v>
      </c>
    </row>
    <row r="102" spans="1:25" ht="15" x14ac:dyDescent="0.25">
      <c r="A102" s="276" t="s">
        <v>1601</v>
      </c>
      <c r="B102" s="433" t="s">
        <v>328</v>
      </c>
      <c r="C102" s="412" t="s">
        <v>141</v>
      </c>
      <c r="D102" s="139" t="str">
        <f>VLOOKUP(C102,'Seznam HS - nemaš'!$A$1:$B$96,2,FALSE)</f>
        <v>402100</v>
      </c>
      <c r="E102" s="434" t="s">
        <v>616</v>
      </c>
      <c r="F102" s="435" t="s">
        <v>446</v>
      </c>
      <c r="G102" s="435"/>
      <c r="H102" s="28">
        <f>+IF(ISBLANK(I102),0,VLOOKUP(I102,'8Příloha_2_ceník_pravid_úklid'!$B$9:$C$30,2,0))</f>
        <v>7</v>
      </c>
      <c r="I102" s="434" t="s">
        <v>14</v>
      </c>
      <c r="J102" s="436">
        <v>3.61</v>
      </c>
      <c r="K102" s="434" t="s">
        <v>50</v>
      </c>
      <c r="L102" s="434" t="s">
        <v>1609</v>
      </c>
      <c r="M102" s="461" t="s">
        <v>49</v>
      </c>
      <c r="N102" s="19">
        <f>IF((VLOOKUP(I102,'8Příloha_2_ceník_pravid_úklid'!$B$9:$I$30,8,0))=0,VLOOKUP(I102,'8Příloha_2_ceník_pravid_úklid'!$B$9:$K$30,10,0),VLOOKUP(I102,'8Příloha_2_ceník_pravid_úklid'!$B$9:$I$30,8,0))</f>
        <v>0</v>
      </c>
      <c r="O102" s="20">
        <v>2</v>
      </c>
      <c r="P102" s="20">
        <v>1</v>
      </c>
      <c r="Q102" s="20">
        <v>2</v>
      </c>
      <c r="R102" s="20">
        <v>1</v>
      </c>
      <c r="S102" s="21">
        <f>NETWORKDAYS.INTL(DATE(2018,1,1),DATE(2018,12,31),1,{"2018/1/1";"2018/3/30";"2018/4/2";"2018/5/1";"2018/5/8";"2018/7/5";"2018/7/6";"2018/09/28";"2018/11/17";"2018/12/24";"2018/12/25";"2018/12/26"})</f>
        <v>250</v>
      </c>
      <c r="T102" s="21">
        <f t="shared" si="5"/>
        <v>115</v>
      </c>
      <c r="U102" s="21">
        <f t="shared" si="6"/>
        <v>365</v>
      </c>
      <c r="V102" s="144">
        <f t="shared" si="7"/>
        <v>730</v>
      </c>
      <c r="W102" s="140">
        <f t="shared" si="8"/>
        <v>0</v>
      </c>
      <c r="X102" s="141">
        <f t="shared" si="9"/>
        <v>0</v>
      </c>
      <c r="Y102" s="141">
        <v>0</v>
      </c>
    </row>
    <row r="103" spans="1:25" ht="15" x14ac:dyDescent="0.25">
      <c r="A103" s="276" t="s">
        <v>1601</v>
      </c>
      <c r="B103" s="433" t="s">
        <v>328</v>
      </c>
      <c r="C103" s="412" t="s">
        <v>141</v>
      </c>
      <c r="D103" s="139" t="str">
        <f>VLOOKUP(C103,'Seznam HS - nemaš'!$A$1:$B$96,2,FALSE)</f>
        <v>402100</v>
      </c>
      <c r="E103" s="434" t="s">
        <v>617</v>
      </c>
      <c r="F103" s="435" t="s">
        <v>1480</v>
      </c>
      <c r="G103" s="435"/>
      <c r="H103" s="28">
        <f>+IF(ISBLANK(I103),0,VLOOKUP(I103,'8Příloha_2_ceník_pravid_úklid'!$B$9:$C$30,2,0))</f>
        <v>7</v>
      </c>
      <c r="I103" s="434" t="s">
        <v>14</v>
      </c>
      <c r="J103" s="436">
        <v>8.43</v>
      </c>
      <c r="K103" s="434" t="s">
        <v>50</v>
      </c>
      <c r="L103" s="434" t="s">
        <v>1610</v>
      </c>
      <c r="M103" s="461" t="s">
        <v>49</v>
      </c>
      <c r="N103" s="19">
        <f>IF((VLOOKUP(I103,'8Příloha_2_ceník_pravid_úklid'!$B$9:$I$30,8,0))=0,VLOOKUP(I103,'8Příloha_2_ceník_pravid_úklid'!$B$9:$K$30,10,0),VLOOKUP(I103,'8Příloha_2_ceník_pravid_úklid'!$B$9:$I$30,8,0))</f>
        <v>0</v>
      </c>
      <c r="O103" s="20">
        <v>2</v>
      </c>
      <c r="P103" s="20">
        <v>1</v>
      </c>
      <c r="Q103" s="20">
        <v>2</v>
      </c>
      <c r="R103" s="20">
        <v>1</v>
      </c>
      <c r="S103" s="21">
        <f>NETWORKDAYS.INTL(DATE(2018,1,1),DATE(2018,12,31),1,{"2018/1/1";"2018/3/30";"2018/4/2";"2018/5/1";"2018/5/8";"2018/7/5";"2018/7/6";"2018/09/28";"2018/11/17";"2018/12/24";"2018/12/25";"2018/12/26"})</f>
        <v>250</v>
      </c>
      <c r="T103" s="21">
        <f t="shared" si="5"/>
        <v>115</v>
      </c>
      <c r="U103" s="21">
        <f t="shared" si="6"/>
        <v>365</v>
      </c>
      <c r="V103" s="144">
        <f t="shared" si="7"/>
        <v>730</v>
      </c>
      <c r="W103" s="140">
        <f t="shared" si="8"/>
        <v>0</v>
      </c>
      <c r="X103" s="141">
        <f t="shared" si="9"/>
        <v>0</v>
      </c>
      <c r="Y103" s="141">
        <v>0</v>
      </c>
    </row>
    <row r="104" spans="1:25" ht="15" x14ac:dyDescent="0.25">
      <c r="A104" s="276" t="s">
        <v>1601</v>
      </c>
      <c r="B104" s="433" t="s">
        <v>328</v>
      </c>
      <c r="C104" s="412" t="s">
        <v>141</v>
      </c>
      <c r="D104" s="139" t="str">
        <f>VLOOKUP(C104,'Seznam HS - nemaš'!$A$1:$B$96,2,FALSE)</f>
        <v>402100</v>
      </c>
      <c r="E104" s="434" t="s">
        <v>1611</v>
      </c>
      <c r="F104" s="435" t="s">
        <v>1612</v>
      </c>
      <c r="G104" s="435"/>
      <c r="H104" s="28">
        <f>+IF(ISBLANK(I104),0,VLOOKUP(I104,'8Příloha_2_ceník_pravid_úklid'!$B$9:$C$30,2,0))</f>
        <v>7</v>
      </c>
      <c r="I104" s="434" t="s">
        <v>14</v>
      </c>
      <c r="J104" s="436">
        <v>8.51</v>
      </c>
      <c r="K104" s="434" t="s">
        <v>50</v>
      </c>
      <c r="L104" s="434" t="s">
        <v>1610</v>
      </c>
      <c r="M104" s="461" t="s">
        <v>49</v>
      </c>
      <c r="N104" s="19">
        <f>IF((VLOOKUP(I104,'8Příloha_2_ceník_pravid_úklid'!$B$9:$I$30,8,0))=0,VLOOKUP(I104,'8Příloha_2_ceník_pravid_úklid'!$B$9:$K$30,10,0),VLOOKUP(I104,'8Příloha_2_ceník_pravid_úklid'!$B$9:$I$30,8,0))</f>
        <v>0</v>
      </c>
      <c r="O104" s="20">
        <v>2</v>
      </c>
      <c r="P104" s="20">
        <v>1</v>
      </c>
      <c r="Q104" s="20">
        <v>2</v>
      </c>
      <c r="R104" s="20">
        <v>1</v>
      </c>
      <c r="S104" s="21">
        <f>NETWORKDAYS.INTL(DATE(2018,1,1),DATE(2018,12,31),1,{"2018/1/1";"2018/3/30";"2018/4/2";"2018/5/1";"2018/5/8";"2018/7/5";"2018/7/6";"2018/09/28";"2018/11/17";"2018/12/24";"2018/12/25";"2018/12/26"})</f>
        <v>250</v>
      </c>
      <c r="T104" s="21">
        <f t="shared" si="5"/>
        <v>115</v>
      </c>
      <c r="U104" s="21">
        <f t="shared" si="6"/>
        <v>365</v>
      </c>
      <c r="V104" s="144">
        <f t="shared" si="7"/>
        <v>730</v>
      </c>
      <c r="W104" s="140">
        <f t="shared" si="8"/>
        <v>0</v>
      </c>
      <c r="X104" s="141">
        <f t="shared" si="9"/>
        <v>0</v>
      </c>
      <c r="Y104" s="141">
        <v>0</v>
      </c>
    </row>
    <row r="105" spans="1:25" ht="15" x14ac:dyDescent="0.25">
      <c r="A105" s="276" t="s">
        <v>1601</v>
      </c>
      <c r="B105" s="433" t="s">
        <v>328</v>
      </c>
      <c r="C105" s="412" t="s">
        <v>141</v>
      </c>
      <c r="D105" s="139" t="str">
        <f>VLOOKUP(C105,'Seznam HS - nemaš'!$A$1:$B$96,2,FALSE)</f>
        <v>402100</v>
      </c>
      <c r="E105" s="434" t="s">
        <v>618</v>
      </c>
      <c r="F105" s="435" t="s">
        <v>552</v>
      </c>
      <c r="G105" s="435"/>
      <c r="H105" s="28">
        <f>+IF(ISBLANK(I105),0,VLOOKUP(I105,'8Příloha_2_ceník_pravid_úklid'!$B$9:$C$30,2,0))</f>
        <v>16</v>
      </c>
      <c r="I105" s="434" t="s">
        <v>6</v>
      </c>
      <c r="J105" s="436">
        <v>9.24</v>
      </c>
      <c r="K105" s="434" t="s">
        <v>50</v>
      </c>
      <c r="L105" s="434" t="s">
        <v>1610</v>
      </c>
      <c r="M105" s="461" t="s">
        <v>49</v>
      </c>
      <c r="N105" s="19">
        <f>IF((VLOOKUP(I105,'8Příloha_2_ceník_pravid_úklid'!$B$9:$I$30,8,0))=0,VLOOKUP(I105,'8Příloha_2_ceník_pravid_úklid'!$B$9:$K$30,10,0),VLOOKUP(I105,'8Příloha_2_ceník_pravid_úklid'!$B$9:$I$30,8,0))</f>
        <v>0</v>
      </c>
      <c r="O105" s="20">
        <v>2</v>
      </c>
      <c r="P105" s="20">
        <v>1</v>
      </c>
      <c r="Q105" s="20">
        <v>2</v>
      </c>
      <c r="R105" s="20">
        <v>1</v>
      </c>
      <c r="S105" s="21">
        <f>NETWORKDAYS.INTL(DATE(2018,1,1),DATE(2018,12,31),1,{"2018/1/1";"2018/3/30";"2018/4/2";"2018/5/1";"2018/5/8";"2018/7/5";"2018/7/6";"2018/09/28";"2018/11/17";"2018/12/24";"2018/12/25";"2018/12/26"})</f>
        <v>250</v>
      </c>
      <c r="T105" s="21">
        <f t="shared" si="5"/>
        <v>115</v>
      </c>
      <c r="U105" s="21">
        <f t="shared" si="6"/>
        <v>365</v>
      </c>
      <c r="V105" s="144">
        <f t="shared" si="7"/>
        <v>730</v>
      </c>
      <c r="W105" s="140">
        <f t="shared" si="8"/>
        <v>0</v>
      </c>
      <c r="X105" s="141">
        <f t="shared" si="9"/>
        <v>0</v>
      </c>
      <c r="Y105" s="141">
        <v>0</v>
      </c>
    </row>
    <row r="106" spans="1:25" ht="15" x14ac:dyDescent="0.25">
      <c r="A106" s="276" t="s">
        <v>1601</v>
      </c>
      <c r="B106" s="433" t="s">
        <v>328</v>
      </c>
      <c r="C106" s="412" t="s">
        <v>141</v>
      </c>
      <c r="D106" s="139" t="str">
        <f>VLOOKUP(C106,'Seznam HS - nemaš'!$A$1:$B$96,2,FALSE)</f>
        <v>402100</v>
      </c>
      <c r="E106" s="434" t="s">
        <v>619</v>
      </c>
      <c r="F106" s="435" t="s">
        <v>1613</v>
      </c>
      <c r="G106" s="435"/>
      <c r="H106" s="28">
        <f>+IF(ISBLANK(I106),0,VLOOKUP(I106,'8Příloha_2_ceník_pravid_úklid'!$B$9:$C$30,2,0))</f>
        <v>7</v>
      </c>
      <c r="I106" s="434" t="s">
        <v>14</v>
      </c>
      <c r="J106" s="436">
        <v>6.09</v>
      </c>
      <c r="K106" s="434" t="s">
        <v>50</v>
      </c>
      <c r="L106" s="434" t="s">
        <v>1610</v>
      </c>
      <c r="M106" s="461" t="s">
        <v>49</v>
      </c>
      <c r="N106" s="19">
        <f>IF((VLOOKUP(I106,'8Příloha_2_ceník_pravid_úklid'!$B$9:$I$30,8,0))=0,VLOOKUP(I106,'8Příloha_2_ceník_pravid_úklid'!$B$9:$K$30,10,0),VLOOKUP(I106,'8Příloha_2_ceník_pravid_úklid'!$B$9:$I$30,8,0))</f>
        <v>0</v>
      </c>
      <c r="O106" s="20">
        <v>2</v>
      </c>
      <c r="P106" s="20">
        <v>1</v>
      </c>
      <c r="Q106" s="20">
        <v>2</v>
      </c>
      <c r="R106" s="20">
        <v>1</v>
      </c>
      <c r="S106" s="21">
        <f>NETWORKDAYS.INTL(DATE(2018,1,1),DATE(2018,12,31),1,{"2018/1/1";"2018/3/30";"2018/4/2";"2018/5/1";"2018/5/8";"2018/7/5";"2018/7/6";"2018/09/28";"2018/11/17";"2018/12/24";"2018/12/25";"2018/12/26"})</f>
        <v>250</v>
      </c>
      <c r="T106" s="21">
        <f t="shared" si="5"/>
        <v>115</v>
      </c>
      <c r="U106" s="21">
        <f t="shared" si="6"/>
        <v>365</v>
      </c>
      <c r="V106" s="144">
        <f t="shared" si="7"/>
        <v>730</v>
      </c>
      <c r="W106" s="140">
        <f t="shared" si="8"/>
        <v>0</v>
      </c>
      <c r="X106" s="141">
        <f t="shared" si="9"/>
        <v>0</v>
      </c>
      <c r="Y106" s="141">
        <v>0</v>
      </c>
    </row>
    <row r="107" spans="1:25" ht="15" x14ac:dyDescent="0.25">
      <c r="A107" s="276" t="s">
        <v>1601</v>
      </c>
      <c r="B107" s="433" t="s">
        <v>328</v>
      </c>
      <c r="C107" s="412" t="s">
        <v>141</v>
      </c>
      <c r="D107" s="139" t="str">
        <f>VLOOKUP(C107,'Seznam HS - nemaš'!$A$1:$B$96,2,FALSE)</f>
        <v>402100</v>
      </c>
      <c r="E107" s="434" t="s">
        <v>620</v>
      </c>
      <c r="F107" s="435" t="s">
        <v>638</v>
      </c>
      <c r="G107" s="435"/>
      <c r="H107" s="28">
        <f>+IF(ISBLANK(I107),0,VLOOKUP(I107,'8Příloha_2_ceník_pravid_úklid'!$B$9:$C$30,2,0))</f>
        <v>4</v>
      </c>
      <c r="I107" s="434" t="s">
        <v>9</v>
      </c>
      <c r="J107" s="436">
        <v>8.31</v>
      </c>
      <c r="K107" s="434" t="s">
        <v>50</v>
      </c>
      <c r="L107" s="446" t="s">
        <v>1605</v>
      </c>
      <c r="M107" s="461" t="s">
        <v>49</v>
      </c>
      <c r="N107" s="19">
        <f>IF((VLOOKUP(I107,'8Příloha_2_ceník_pravid_úklid'!$B$9:$I$30,8,0))=0,VLOOKUP(I107,'8Příloha_2_ceník_pravid_úklid'!$B$9:$K$30,10,0),VLOOKUP(I107,'8Příloha_2_ceník_pravid_úklid'!$B$9:$I$30,8,0))</f>
        <v>0</v>
      </c>
      <c r="O107" s="20">
        <v>1</v>
      </c>
      <c r="P107" s="20">
        <f>2/5</f>
        <v>0.4</v>
      </c>
      <c r="Q107" s="20">
        <v>0</v>
      </c>
      <c r="R107" s="20">
        <v>0</v>
      </c>
      <c r="S107" s="21">
        <f>NETWORKDAYS.INTL(DATE(2018,1,1),DATE(2018,12,31),1,{"2018/1/1";"2018/3/30";"2018/4/2";"2018/5/1";"2018/5/8";"2018/7/5";"2018/7/6";"2018/09/28";"2018/11/17";"2018/12/24";"2018/12/25";"2018/12/26"})</f>
        <v>250</v>
      </c>
      <c r="T107" s="21">
        <f t="shared" si="5"/>
        <v>115</v>
      </c>
      <c r="U107" s="21">
        <f t="shared" si="6"/>
        <v>365</v>
      </c>
      <c r="V107" s="144">
        <f t="shared" si="7"/>
        <v>100</v>
      </c>
      <c r="W107" s="140">
        <f t="shared" si="8"/>
        <v>0</v>
      </c>
      <c r="X107" s="141">
        <f t="shared" si="9"/>
        <v>0</v>
      </c>
      <c r="Y107" s="141">
        <v>0</v>
      </c>
    </row>
    <row r="108" spans="1:25" ht="15" x14ac:dyDescent="0.25">
      <c r="A108" s="276" t="s">
        <v>1601</v>
      </c>
      <c r="B108" s="433" t="s">
        <v>328</v>
      </c>
      <c r="C108" s="412" t="s">
        <v>141</v>
      </c>
      <c r="D108" s="139" t="str">
        <f>VLOOKUP(C108,'Seznam HS - nemaš'!$A$1:$B$96,2,FALSE)</f>
        <v>402100</v>
      </c>
      <c r="E108" s="434" t="s">
        <v>621</v>
      </c>
      <c r="F108" s="435" t="s">
        <v>561</v>
      </c>
      <c r="G108" s="435"/>
      <c r="H108" s="28">
        <f>+IF(ISBLANK(I108),0,VLOOKUP(I108,'8Příloha_2_ceník_pravid_úklid'!$B$9:$C$30,2,0))</f>
        <v>7</v>
      </c>
      <c r="I108" s="434" t="s">
        <v>14</v>
      </c>
      <c r="J108" s="436">
        <v>4.45</v>
      </c>
      <c r="K108" s="434" t="s">
        <v>50</v>
      </c>
      <c r="L108" s="434" t="s">
        <v>22</v>
      </c>
      <c r="M108" s="461" t="s">
        <v>49</v>
      </c>
      <c r="N108" s="19">
        <f>IF((VLOOKUP(I108,'8Příloha_2_ceník_pravid_úklid'!$B$9:$I$30,8,0))=0,VLOOKUP(I108,'8Příloha_2_ceník_pravid_úklid'!$B$9:$K$30,10,0),VLOOKUP(I108,'8Příloha_2_ceník_pravid_úklid'!$B$9:$I$30,8,0))</f>
        <v>0</v>
      </c>
      <c r="O108" s="20">
        <v>2</v>
      </c>
      <c r="P108" s="20">
        <v>1</v>
      </c>
      <c r="Q108" s="20">
        <v>2</v>
      </c>
      <c r="R108" s="20">
        <v>1</v>
      </c>
      <c r="S108" s="21">
        <f>NETWORKDAYS.INTL(DATE(2018,1,1),DATE(2018,12,31),1,{"2018/1/1";"2018/3/30";"2018/4/2";"2018/5/1";"2018/5/8";"2018/7/5";"2018/7/6";"2018/09/28";"2018/11/17";"2018/12/24";"2018/12/25";"2018/12/26"})</f>
        <v>250</v>
      </c>
      <c r="T108" s="21">
        <f t="shared" si="5"/>
        <v>115</v>
      </c>
      <c r="U108" s="21">
        <f t="shared" si="6"/>
        <v>365</v>
      </c>
      <c r="V108" s="144">
        <f t="shared" si="7"/>
        <v>730</v>
      </c>
      <c r="W108" s="140">
        <f t="shared" si="8"/>
        <v>0</v>
      </c>
      <c r="X108" s="141">
        <f t="shared" si="9"/>
        <v>0</v>
      </c>
      <c r="Y108" s="141">
        <v>0</v>
      </c>
    </row>
    <row r="109" spans="1:25" ht="15" x14ac:dyDescent="0.25">
      <c r="A109" s="276" t="s">
        <v>1601</v>
      </c>
      <c r="B109" s="433" t="s">
        <v>328</v>
      </c>
      <c r="C109" s="412" t="s">
        <v>141</v>
      </c>
      <c r="D109" s="139" t="str">
        <f>VLOOKUP(C109,'Seznam HS - nemaš'!$A$1:$B$96,2,FALSE)</f>
        <v>402100</v>
      </c>
      <c r="E109" s="434" t="s">
        <v>622</v>
      </c>
      <c r="F109" s="435" t="s">
        <v>1614</v>
      </c>
      <c r="G109" s="435"/>
      <c r="H109" s="28">
        <f>+IF(ISBLANK(I109),0,VLOOKUP(I109,'8Příloha_2_ceník_pravid_úklid'!$B$9:$C$30,2,0))</f>
        <v>7</v>
      </c>
      <c r="I109" s="434" t="s">
        <v>14</v>
      </c>
      <c r="J109" s="436">
        <v>4.99</v>
      </c>
      <c r="K109" s="434" t="s">
        <v>50</v>
      </c>
      <c r="L109" s="434" t="s">
        <v>22</v>
      </c>
      <c r="M109" s="461" t="s">
        <v>49</v>
      </c>
      <c r="N109" s="19">
        <f>IF((VLOOKUP(I109,'8Příloha_2_ceník_pravid_úklid'!$B$9:$I$30,8,0))=0,VLOOKUP(I109,'8Příloha_2_ceník_pravid_úklid'!$B$9:$K$30,10,0),VLOOKUP(I109,'8Příloha_2_ceník_pravid_úklid'!$B$9:$I$30,8,0))</f>
        <v>0</v>
      </c>
      <c r="O109" s="20">
        <v>2</v>
      </c>
      <c r="P109" s="20">
        <v>1</v>
      </c>
      <c r="Q109" s="20">
        <v>2</v>
      </c>
      <c r="R109" s="20">
        <v>1</v>
      </c>
      <c r="S109" s="21">
        <f>NETWORKDAYS.INTL(DATE(2018,1,1),DATE(2018,12,31),1,{"2018/1/1";"2018/3/30";"2018/4/2";"2018/5/1";"2018/5/8";"2018/7/5";"2018/7/6";"2018/09/28";"2018/11/17";"2018/12/24";"2018/12/25";"2018/12/26"})</f>
        <v>250</v>
      </c>
      <c r="T109" s="21">
        <f t="shared" si="5"/>
        <v>115</v>
      </c>
      <c r="U109" s="21">
        <f t="shared" si="6"/>
        <v>365</v>
      </c>
      <c r="V109" s="144">
        <f t="shared" si="7"/>
        <v>730</v>
      </c>
      <c r="W109" s="140">
        <f t="shared" si="8"/>
        <v>0</v>
      </c>
      <c r="X109" s="141">
        <f t="shared" si="9"/>
        <v>0</v>
      </c>
      <c r="Y109" s="141">
        <v>0</v>
      </c>
    </row>
    <row r="110" spans="1:25" ht="15" x14ac:dyDescent="0.25">
      <c r="A110" s="276" t="s">
        <v>1601</v>
      </c>
      <c r="B110" s="433" t="s">
        <v>328</v>
      </c>
      <c r="C110" s="412" t="s">
        <v>141</v>
      </c>
      <c r="D110" s="139" t="str">
        <f>VLOOKUP(C110,'Seznam HS - nemaš'!$A$1:$B$96,2,FALSE)</f>
        <v>402100</v>
      </c>
      <c r="E110" s="434" t="s">
        <v>623</v>
      </c>
      <c r="F110" s="435" t="s">
        <v>1582</v>
      </c>
      <c r="G110" s="435"/>
      <c r="H110" s="28">
        <f>+IF(ISBLANK(I110),0,VLOOKUP(I110,'8Příloha_2_ceník_pravid_úklid'!$B$9:$C$30,2,0))</f>
        <v>16</v>
      </c>
      <c r="I110" s="434" t="s">
        <v>6</v>
      </c>
      <c r="J110" s="436">
        <v>12.85</v>
      </c>
      <c r="K110" s="434" t="s">
        <v>50</v>
      </c>
      <c r="L110" s="434" t="s">
        <v>22</v>
      </c>
      <c r="M110" s="461" t="s">
        <v>49</v>
      </c>
      <c r="N110" s="19">
        <f>IF((VLOOKUP(I110,'8Příloha_2_ceník_pravid_úklid'!$B$9:$I$30,8,0))=0,VLOOKUP(I110,'8Příloha_2_ceník_pravid_úklid'!$B$9:$K$30,10,0),VLOOKUP(I110,'8Příloha_2_ceník_pravid_úklid'!$B$9:$I$30,8,0))</f>
        <v>0</v>
      </c>
      <c r="O110" s="20">
        <v>2</v>
      </c>
      <c r="P110" s="20">
        <v>1</v>
      </c>
      <c r="Q110" s="20">
        <v>2</v>
      </c>
      <c r="R110" s="20">
        <v>1</v>
      </c>
      <c r="S110" s="21">
        <f>NETWORKDAYS.INTL(DATE(2018,1,1),DATE(2018,12,31),1,{"2018/1/1";"2018/3/30";"2018/4/2";"2018/5/1";"2018/5/8";"2018/7/5";"2018/7/6";"2018/09/28";"2018/11/17";"2018/12/24";"2018/12/25";"2018/12/26"})</f>
        <v>250</v>
      </c>
      <c r="T110" s="21">
        <f t="shared" si="5"/>
        <v>115</v>
      </c>
      <c r="U110" s="21">
        <f t="shared" si="6"/>
        <v>365</v>
      </c>
      <c r="V110" s="144">
        <f t="shared" si="7"/>
        <v>730</v>
      </c>
      <c r="W110" s="140">
        <f t="shared" si="8"/>
        <v>0</v>
      </c>
      <c r="X110" s="141">
        <f t="shared" si="9"/>
        <v>0</v>
      </c>
      <c r="Y110" s="141">
        <v>0</v>
      </c>
    </row>
    <row r="111" spans="1:25" ht="15" x14ac:dyDescent="0.25">
      <c r="A111" s="276" t="s">
        <v>1601</v>
      </c>
      <c r="B111" s="433" t="s">
        <v>328</v>
      </c>
      <c r="C111" s="412" t="s">
        <v>141</v>
      </c>
      <c r="D111" s="139" t="str">
        <f>VLOOKUP(C111,'Seznam HS - nemaš'!$A$1:$B$96,2,FALSE)</f>
        <v>402100</v>
      </c>
      <c r="E111" s="434" t="s">
        <v>624</v>
      </c>
      <c r="F111" s="435" t="s">
        <v>492</v>
      </c>
      <c r="G111" s="435"/>
      <c r="H111" s="28">
        <f>+IF(ISBLANK(I111),0,VLOOKUP(I111,'8Příloha_2_ceník_pravid_úklid'!$B$9:$C$30,2,0))</f>
        <v>4</v>
      </c>
      <c r="I111" s="434" t="s">
        <v>9</v>
      </c>
      <c r="J111" s="436">
        <v>15.04</v>
      </c>
      <c r="K111" s="434" t="s">
        <v>50</v>
      </c>
      <c r="L111" s="434" t="s">
        <v>1615</v>
      </c>
      <c r="M111" s="461" t="s">
        <v>49</v>
      </c>
      <c r="N111" s="19">
        <f>IF((VLOOKUP(I111,'8Příloha_2_ceník_pravid_úklid'!$B$9:$I$30,8,0))=0,VLOOKUP(I111,'8Příloha_2_ceník_pravid_úklid'!$B$9:$K$30,10,0),VLOOKUP(I111,'8Příloha_2_ceník_pravid_úklid'!$B$9:$I$30,8,0))</f>
        <v>0</v>
      </c>
      <c r="O111" s="20">
        <v>1</v>
      </c>
      <c r="P111" s="20">
        <v>1</v>
      </c>
      <c r="Q111" s="20">
        <v>1</v>
      </c>
      <c r="R111" s="20">
        <v>1</v>
      </c>
      <c r="S111" s="21">
        <f>NETWORKDAYS.INTL(DATE(2018,1,1),DATE(2018,12,31),1,{"2018/1/1";"2018/3/30";"2018/4/2";"2018/5/1";"2018/5/8";"2018/7/5";"2018/7/6";"2018/09/28";"2018/11/17";"2018/12/24";"2018/12/25";"2018/12/26"})</f>
        <v>250</v>
      </c>
      <c r="T111" s="21">
        <f t="shared" si="5"/>
        <v>115</v>
      </c>
      <c r="U111" s="21">
        <f t="shared" si="6"/>
        <v>365</v>
      </c>
      <c r="V111" s="144">
        <f t="shared" si="7"/>
        <v>365</v>
      </c>
      <c r="W111" s="140">
        <f t="shared" si="8"/>
        <v>0</v>
      </c>
      <c r="X111" s="141">
        <f t="shared" si="9"/>
        <v>0</v>
      </c>
      <c r="Y111" s="141">
        <v>0</v>
      </c>
    </row>
    <row r="112" spans="1:25" ht="15" x14ac:dyDescent="0.25">
      <c r="A112" s="409" t="s">
        <v>767</v>
      </c>
      <c r="B112" s="464" t="s">
        <v>328</v>
      </c>
      <c r="C112" s="451" t="s">
        <v>141</v>
      </c>
      <c r="D112" s="212" t="str">
        <f>VLOOKUP(C112,'Seznam HS - nemaš'!$A$1:$B$96,2,FALSE)</f>
        <v>402100</v>
      </c>
      <c r="E112" s="465" t="s">
        <v>625</v>
      </c>
      <c r="F112" s="466" t="s">
        <v>53</v>
      </c>
      <c r="G112" s="466"/>
      <c r="H112" s="161">
        <f>+IF(ISBLANK(I112),0,VLOOKUP(I112,'8Příloha_2_ceník_pravid_úklid'!$B$9:$C$30,2,0))</f>
        <v>6</v>
      </c>
      <c r="I112" s="465" t="s">
        <v>1</v>
      </c>
      <c r="J112" s="467">
        <v>78.260000000000005</v>
      </c>
      <c r="K112" s="465" t="s">
        <v>50</v>
      </c>
      <c r="L112" s="468" t="s">
        <v>22</v>
      </c>
      <c r="M112" s="469" t="s">
        <v>49</v>
      </c>
      <c r="N112" s="165">
        <f>IF((VLOOKUP(I112,'8Příloha_2_ceník_pravid_úklid'!$B$9:$I$30,8,0))=0,VLOOKUP(I112,'8Příloha_2_ceník_pravid_úklid'!$B$9:$K$30,10,0),VLOOKUP(I112,'8Příloha_2_ceník_pravid_úklid'!$B$9:$I$30,8,0))</f>
        <v>0</v>
      </c>
      <c r="O112" s="166">
        <v>2</v>
      </c>
      <c r="P112" s="166">
        <v>1</v>
      </c>
      <c r="Q112" s="166">
        <v>2</v>
      </c>
      <c r="R112" s="166">
        <v>1</v>
      </c>
      <c r="S112" s="167">
        <f>NETWORKDAYS.INTL(DATE(2018,1,1),DATE(2018,12,31),1,{"2018/1/1";"2018/3/30";"2018/4/2";"2018/5/1";"2018/5/8";"2018/7/5";"2018/7/6";"2018/09/28";"2018/11/17";"2018/12/24";"2018/12/25";"2018/12/26"})</f>
        <v>250</v>
      </c>
      <c r="T112" s="167">
        <f t="shared" si="5"/>
        <v>115</v>
      </c>
      <c r="U112" s="167">
        <f t="shared" si="6"/>
        <v>365</v>
      </c>
      <c r="V112" s="168">
        <f t="shared" si="7"/>
        <v>730</v>
      </c>
      <c r="W112" s="169">
        <f t="shared" si="8"/>
        <v>0</v>
      </c>
      <c r="X112" s="170">
        <f t="shared" si="9"/>
        <v>0</v>
      </c>
      <c r="Y112" s="574">
        <v>0</v>
      </c>
    </row>
    <row r="113" spans="1:25" ht="15" x14ac:dyDescent="0.25">
      <c r="A113" s="490"/>
      <c r="B113" s="491"/>
      <c r="C113" s="491"/>
      <c r="D113" s="491"/>
      <c r="E113" s="491"/>
      <c r="F113" s="493"/>
      <c r="G113" s="493"/>
      <c r="H113" s="494"/>
      <c r="I113" s="492"/>
      <c r="J113" s="495"/>
      <c r="K113" s="492"/>
      <c r="L113" s="496"/>
      <c r="M113" s="497"/>
      <c r="N113" s="498"/>
      <c r="O113" s="499"/>
      <c r="P113" s="499"/>
      <c r="Q113" s="499"/>
      <c r="R113" s="499"/>
      <c r="S113" s="500"/>
      <c r="T113" s="500"/>
      <c r="U113" s="500"/>
      <c r="V113" s="501"/>
      <c r="W113" s="502"/>
      <c r="X113" s="502"/>
      <c r="Y113" s="502"/>
    </row>
    <row r="114" spans="1:25" ht="15" x14ac:dyDescent="0.25">
      <c r="A114" s="490"/>
      <c r="B114" s="491"/>
      <c r="C114" s="491"/>
      <c r="D114" s="491"/>
      <c r="E114" s="491"/>
      <c r="F114" s="493"/>
      <c r="G114" s="493"/>
      <c r="H114" s="494"/>
      <c r="I114" s="492"/>
      <c r="J114" s="495"/>
      <c r="K114" s="492"/>
      <c r="L114" s="496"/>
      <c r="M114" s="497"/>
      <c r="N114" s="498"/>
      <c r="O114" s="499"/>
      <c r="P114" s="499"/>
      <c r="Q114" s="499"/>
      <c r="R114" s="499"/>
      <c r="S114" s="500"/>
      <c r="T114" s="500"/>
      <c r="U114" s="500"/>
      <c r="V114" s="501"/>
      <c r="W114" s="502"/>
      <c r="X114" s="502"/>
      <c r="Y114" s="502"/>
    </row>
    <row r="115" spans="1:25" ht="15" x14ac:dyDescent="0.25">
      <c r="A115" s="490"/>
      <c r="B115" s="491"/>
      <c r="C115" s="491"/>
      <c r="D115" s="491"/>
      <c r="E115" s="491"/>
      <c r="F115" s="493"/>
      <c r="G115" s="493"/>
      <c r="H115" s="494"/>
      <c r="I115" s="492"/>
      <c r="J115" s="495"/>
      <c r="K115" s="492"/>
      <c r="L115" s="496"/>
      <c r="M115" s="497"/>
      <c r="N115" s="498"/>
      <c r="O115" s="499"/>
      <c r="P115" s="499"/>
      <c r="Q115" s="499"/>
      <c r="R115" s="499"/>
      <c r="S115" s="500"/>
      <c r="T115" s="500"/>
      <c r="U115" s="500"/>
      <c r="V115" s="501"/>
      <c r="W115" s="502"/>
      <c r="X115" s="502"/>
      <c r="Y115" s="502"/>
    </row>
    <row r="116" spans="1:25" ht="15" x14ac:dyDescent="0.25">
      <c r="A116" s="490"/>
      <c r="B116" s="491"/>
      <c r="C116" s="491"/>
      <c r="D116" s="491"/>
      <c r="E116" s="491"/>
      <c r="F116" s="493"/>
      <c r="G116" s="493"/>
      <c r="H116" s="494"/>
      <c r="I116" s="492"/>
      <c r="J116" s="495"/>
      <c r="K116" s="492"/>
      <c r="L116" s="496"/>
      <c r="M116" s="497"/>
      <c r="N116" s="498"/>
      <c r="O116" s="499"/>
      <c r="P116" s="499"/>
      <c r="Q116" s="499"/>
      <c r="R116" s="499"/>
      <c r="S116" s="500"/>
      <c r="T116" s="500"/>
      <c r="U116" s="500"/>
      <c r="V116" s="501"/>
      <c r="W116" s="502"/>
      <c r="X116" s="502"/>
      <c r="Y116" s="502"/>
    </row>
    <row r="117" spans="1:25" ht="15" x14ac:dyDescent="0.25">
      <c r="A117" s="490"/>
      <c r="B117" s="491"/>
      <c r="C117" s="491"/>
      <c r="D117" s="491"/>
      <c r="E117" s="491"/>
      <c r="F117" s="493"/>
      <c r="G117" s="493"/>
      <c r="H117" s="494"/>
      <c r="I117" s="492"/>
      <c r="J117" s="495"/>
      <c r="K117" s="492"/>
      <c r="L117" s="496"/>
      <c r="M117" s="497"/>
      <c r="N117" s="498"/>
      <c r="O117" s="499"/>
      <c r="P117" s="499"/>
      <c r="Q117" s="499"/>
      <c r="R117" s="499"/>
      <c r="S117" s="500"/>
      <c r="T117" s="500"/>
      <c r="U117" s="500"/>
      <c r="V117" s="501"/>
      <c r="W117" s="502"/>
      <c r="X117" s="502"/>
      <c r="Y117" s="502"/>
    </row>
    <row r="118" spans="1:25" x14ac:dyDescent="0.2">
      <c r="H118" s="291"/>
      <c r="N118" s="1"/>
      <c r="X118" s="290"/>
      <c r="Y118" s="290"/>
    </row>
    <row r="119" spans="1:25" x14ac:dyDescent="0.2">
      <c r="H119" s="291"/>
      <c r="N119" s="1"/>
      <c r="X119" s="290"/>
      <c r="Y119" s="290"/>
    </row>
    <row r="120" spans="1:25" x14ac:dyDescent="0.2">
      <c r="H120" s="291"/>
      <c r="N120" s="1"/>
      <c r="X120" s="290"/>
      <c r="Y120" s="290"/>
    </row>
    <row r="121" spans="1:25" x14ac:dyDescent="0.2">
      <c r="H121" s="291"/>
      <c r="N121" s="1"/>
      <c r="X121" s="290"/>
      <c r="Y121" s="290"/>
    </row>
    <row r="122" spans="1:25" x14ac:dyDescent="0.2">
      <c r="H122" s="291"/>
      <c r="J122" s="290"/>
      <c r="N122" s="1"/>
      <c r="X122" s="290"/>
      <c r="Y122" s="290"/>
    </row>
    <row r="123" spans="1:25" x14ac:dyDescent="0.2">
      <c r="H123" s="291"/>
      <c r="N123" s="1"/>
      <c r="X123" s="290"/>
      <c r="Y123" s="290"/>
    </row>
  </sheetData>
  <sheetProtection password="CA8C" sheet="1" objects="1" scenarios="1" formatCells="0" formatColumns="0" formatRows="0" autoFilter="0"/>
  <autoFilter ref="A5:X117"/>
  <mergeCells count="24">
    <mergeCell ref="F2:F3"/>
    <mergeCell ref="A2:A3"/>
    <mergeCell ref="B2:B3"/>
    <mergeCell ref="C2:C3"/>
    <mergeCell ref="D2:D3"/>
    <mergeCell ref="E2:E3"/>
    <mergeCell ref="S2:S3"/>
    <mergeCell ref="G2:G3"/>
    <mergeCell ref="H2:H3"/>
    <mergeCell ref="I2:I3"/>
    <mergeCell ref="J2:K2"/>
    <mergeCell ref="L2:L3"/>
    <mergeCell ref="M2:M3"/>
    <mergeCell ref="N2:N3"/>
    <mergeCell ref="O2:O3"/>
    <mergeCell ref="P2:P3"/>
    <mergeCell ref="Q2:Q3"/>
    <mergeCell ref="R2:R3"/>
    <mergeCell ref="Y2:Y3"/>
    <mergeCell ref="T2:T3"/>
    <mergeCell ref="U2:U3"/>
    <mergeCell ref="V2:V3"/>
    <mergeCell ref="W2:W3"/>
    <mergeCell ref="X2:X3"/>
  </mergeCells>
  <conditionalFormatting sqref="W2:X2">
    <cfRule type="cellIs" dxfId="5" priority="3" stopIfTrue="1" operator="equal">
      <formula>0</formula>
    </cfRule>
  </conditionalFormatting>
  <conditionalFormatting sqref="Y2">
    <cfRule type="cellIs" dxfId="4" priority="1" stopIfTrue="1" operator="equal">
      <formula>0</formula>
    </cfRule>
  </conditionalFormatting>
  <dataValidations count="1">
    <dataValidation type="list" allowBlank="1" showInputMessage="1" showErrorMessage="1" sqref="C6:C112">
      <formula1>HS0</formula1>
    </dataValidation>
  </dataValidations>
  <pageMargins left="0.7" right="0.7" top="0.78740157499999996" bottom="0.78740157499999996" header="0.3" footer="0.3"/>
  <pageSetup paperSize="9" scale="2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2"/>
  <sheetViews>
    <sheetView zoomScale="55" zoomScaleNormal="55" workbookViewId="0">
      <selection activeCell="Z6" sqref="Z6"/>
    </sheetView>
  </sheetViews>
  <sheetFormatPr defaultRowHeight="12.75" x14ac:dyDescent="0.2"/>
  <cols>
    <col min="1" max="2" width="9.140625" style="1"/>
    <col min="3" max="3" width="29.140625" style="1" customWidth="1"/>
    <col min="4" max="4" width="18.7109375" style="1" bestFit="1" customWidth="1"/>
    <col min="5" max="5" width="9.140625" style="1"/>
    <col min="6" max="6" width="24.140625" style="1" bestFit="1" customWidth="1"/>
    <col min="7" max="7" width="9.140625" style="1"/>
    <col min="8" max="8" width="8" style="1" customWidth="1"/>
    <col min="9" max="11" width="9.140625" style="1"/>
    <col min="12" max="12" width="15.7109375" style="1" bestFit="1" customWidth="1"/>
    <col min="13" max="22" width="9.140625" style="1"/>
    <col min="23" max="23" width="12.85546875" style="1" customWidth="1"/>
    <col min="24" max="25" width="13.5703125" style="1" customWidth="1"/>
    <col min="26" max="16384" width="9.140625" style="1"/>
  </cols>
  <sheetData>
    <row r="1" spans="1:25" ht="16.5" thickBot="1" x14ac:dyDescent="0.3">
      <c r="A1" s="14" t="s">
        <v>1616</v>
      </c>
      <c r="B1" s="470"/>
      <c r="C1" s="470"/>
      <c r="D1" s="470"/>
      <c r="E1" s="470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5"/>
      <c r="X1" s="5" t="s">
        <v>100</v>
      </c>
      <c r="Y1" s="6" t="s">
        <v>1780</v>
      </c>
    </row>
    <row r="2" spans="1:25" ht="33.75" customHeight="1" x14ac:dyDescent="0.2">
      <c r="A2" s="755" t="s">
        <v>73</v>
      </c>
      <c r="B2" s="752" t="s">
        <v>72</v>
      </c>
      <c r="C2" s="752" t="s">
        <v>291</v>
      </c>
      <c r="D2" s="752" t="s">
        <v>292</v>
      </c>
      <c r="E2" s="752" t="s">
        <v>62</v>
      </c>
      <c r="F2" s="752" t="s">
        <v>61</v>
      </c>
      <c r="G2" s="752" t="s">
        <v>60</v>
      </c>
      <c r="H2" s="752" t="s">
        <v>98</v>
      </c>
      <c r="I2" s="752" t="s">
        <v>97</v>
      </c>
      <c r="J2" s="754" t="s">
        <v>71</v>
      </c>
      <c r="K2" s="754"/>
      <c r="L2" s="752" t="s">
        <v>59</v>
      </c>
      <c r="M2" s="752" t="s">
        <v>57</v>
      </c>
      <c r="N2" s="752" t="s">
        <v>56</v>
      </c>
      <c r="O2" s="752" t="s">
        <v>103</v>
      </c>
      <c r="P2" s="752" t="s">
        <v>104</v>
      </c>
      <c r="Q2" s="752" t="s">
        <v>105</v>
      </c>
      <c r="R2" s="752" t="s">
        <v>106</v>
      </c>
      <c r="S2" s="752" t="s">
        <v>107</v>
      </c>
      <c r="T2" s="752" t="s">
        <v>108</v>
      </c>
      <c r="U2" s="752" t="s">
        <v>109</v>
      </c>
      <c r="V2" s="752" t="s">
        <v>110</v>
      </c>
      <c r="W2" s="752" t="s">
        <v>1744</v>
      </c>
      <c r="X2" s="750" t="s">
        <v>1745</v>
      </c>
      <c r="Y2" s="750" t="s">
        <v>1746</v>
      </c>
    </row>
    <row r="3" spans="1:25" ht="33.75" customHeight="1" thickBot="1" x14ac:dyDescent="0.25">
      <c r="A3" s="756"/>
      <c r="B3" s="753"/>
      <c r="C3" s="753"/>
      <c r="D3" s="753"/>
      <c r="E3" s="753"/>
      <c r="F3" s="753"/>
      <c r="G3" s="753"/>
      <c r="H3" s="753"/>
      <c r="I3" s="753"/>
      <c r="J3" s="16" t="s">
        <v>124</v>
      </c>
      <c r="K3" s="147" t="s">
        <v>58</v>
      </c>
      <c r="L3" s="753"/>
      <c r="M3" s="753"/>
      <c r="N3" s="753"/>
      <c r="O3" s="753"/>
      <c r="P3" s="753"/>
      <c r="Q3" s="753"/>
      <c r="R3" s="753"/>
      <c r="S3" s="753"/>
      <c r="T3" s="753"/>
      <c r="U3" s="753"/>
      <c r="V3" s="753"/>
      <c r="W3" s="753"/>
      <c r="X3" s="751"/>
      <c r="Y3" s="751"/>
    </row>
    <row r="4" spans="1:25" x14ac:dyDescent="0.2">
      <c r="A4" s="15"/>
      <c r="B4" s="15"/>
      <c r="C4" s="15"/>
      <c r="D4" s="15"/>
      <c r="E4" s="15"/>
      <c r="F4" s="15"/>
      <c r="G4" s="15"/>
      <c r="H4" s="15"/>
      <c r="I4" s="15"/>
      <c r="J4" s="415">
        <f>SUM(J9:J11,J12:J14,J16:J31,J33:J71,J73:J81,J83:J88)</f>
        <v>1282.0899999999995</v>
      </c>
      <c r="K4" s="415">
        <f>SUM(J6:J88)</f>
        <v>1386.4799999999998</v>
      </c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322">
        <f>SUM(W6:W88)</f>
        <v>0</v>
      </c>
      <c r="X4" s="322">
        <f>SUM(X6:X88)</f>
        <v>0</v>
      </c>
      <c r="Y4" s="322">
        <f>SUM(Y6:Y88)</f>
        <v>0</v>
      </c>
    </row>
    <row r="5" spans="1:25" x14ac:dyDescent="0.2">
      <c r="A5" s="416"/>
      <c r="B5" s="416"/>
      <c r="C5" s="416"/>
      <c r="D5" s="416"/>
      <c r="E5" s="416"/>
      <c r="F5" s="416"/>
      <c r="G5" s="416"/>
      <c r="H5" s="416"/>
      <c r="I5" s="416"/>
      <c r="J5" s="417"/>
      <c r="K5" s="416"/>
      <c r="L5" s="416"/>
      <c r="M5" s="416"/>
      <c r="N5" s="416"/>
      <c r="O5" s="416"/>
      <c r="P5" s="416"/>
      <c r="Q5" s="416"/>
      <c r="R5" s="416"/>
      <c r="S5" s="416"/>
      <c r="T5" s="416"/>
      <c r="U5" s="416"/>
      <c r="V5" s="416"/>
      <c r="W5" s="417"/>
      <c r="X5" s="417"/>
      <c r="Y5" s="417"/>
    </row>
    <row r="6" spans="1:25" ht="15" x14ac:dyDescent="0.25">
      <c r="A6" s="471" t="s">
        <v>1617</v>
      </c>
      <c r="B6" s="472" t="s">
        <v>54</v>
      </c>
      <c r="C6" s="472"/>
      <c r="D6" s="535">
        <f>VLOOKUP(C6,'Seznam HS - nemaš'!$A$1:$B$96,2,FALSE)</f>
        <v>0</v>
      </c>
      <c r="E6" s="473">
        <v>101</v>
      </c>
      <c r="F6" s="474" t="s">
        <v>1618</v>
      </c>
      <c r="G6" s="474"/>
      <c r="H6" s="224">
        <f>+IF(ISBLANK(I6),0,VLOOKUP(I6,'8Příloha_2_ceník_pravid_úklid'!$B$9:$C$30,2,0))</f>
        <v>8</v>
      </c>
      <c r="I6" s="475" t="s">
        <v>11</v>
      </c>
      <c r="J6" s="476">
        <v>13.71</v>
      </c>
      <c r="K6" s="475" t="s">
        <v>50</v>
      </c>
      <c r="L6" s="477" t="s">
        <v>387</v>
      </c>
      <c r="M6" s="478"/>
      <c r="N6" s="229" t="s">
        <v>501</v>
      </c>
      <c r="O6" s="230">
        <v>0</v>
      </c>
      <c r="P6" s="230">
        <v>0</v>
      </c>
      <c r="Q6" s="230">
        <v>0</v>
      </c>
      <c r="R6" s="230">
        <v>0</v>
      </c>
      <c r="S6" s="269">
        <f>NETWORKDAYS.INTL(DATE(2018,1,1),DATE(2018,12,31),1,{"2018/1/1";"2018/3/30";"2018/4/2";"2018/5/1";"2018/5/8";"2018/7/5";"2018/7/6";"2018/09/28";"2018/11/17";"2018/12/24";"2018/12/25";"2018/12/26"})</f>
        <v>250</v>
      </c>
      <c r="T6" s="269">
        <f t="shared" ref="T6:T69" si="0">U6-S6</f>
        <v>115</v>
      </c>
      <c r="U6" s="269">
        <f t="shared" ref="U6:U69" si="1">_xlfn.DAYS("1.1.2019","1.1.2018")</f>
        <v>365</v>
      </c>
      <c r="V6" s="270">
        <f t="shared" ref="V6:V69" si="2">ROUND(O6*P6*S6+Q6*R6*T6,2)</f>
        <v>0</v>
      </c>
      <c r="W6" s="233">
        <f t="shared" ref="W6:W69" si="3">ROUND(IF(N6="neoceňuje se",+J6*0*V6,J6*N6*V6),2)</f>
        <v>0</v>
      </c>
      <c r="X6" s="234">
        <f t="shared" ref="X6:Y69" si="4">ROUND(W6*1.21,2)</f>
        <v>0</v>
      </c>
      <c r="Y6" s="234">
        <f t="shared" si="4"/>
        <v>0</v>
      </c>
    </row>
    <row r="7" spans="1:25" ht="15" x14ac:dyDescent="0.25">
      <c r="A7" s="356" t="s">
        <v>1617</v>
      </c>
      <c r="B7" s="437" t="s">
        <v>54</v>
      </c>
      <c r="C7" s="437"/>
      <c r="D7" s="535">
        <f>VLOOKUP(C7,'Seznam HS - nemaš'!$A$1:$B$96,2,FALSE)</f>
        <v>0</v>
      </c>
      <c r="E7" s="444">
        <v>102</v>
      </c>
      <c r="F7" s="479" t="s">
        <v>55</v>
      </c>
      <c r="G7" s="479"/>
      <c r="H7" s="224">
        <f>+IF(ISBLANK(I7),0,VLOOKUP(I7,'8Příloha_2_ceník_pravid_úklid'!$B$9:$C$30,2,0))</f>
        <v>6</v>
      </c>
      <c r="I7" s="438" t="s">
        <v>1</v>
      </c>
      <c r="J7" s="440">
        <v>11.49</v>
      </c>
      <c r="K7" s="438"/>
      <c r="L7" s="477" t="s">
        <v>387</v>
      </c>
      <c r="M7" s="442"/>
      <c r="N7" s="229" t="s">
        <v>501</v>
      </c>
      <c r="O7" s="230">
        <v>0</v>
      </c>
      <c r="P7" s="230">
        <v>0</v>
      </c>
      <c r="Q7" s="230">
        <v>0</v>
      </c>
      <c r="R7" s="230">
        <v>0</v>
      </c>
      <c r="S7" s="231">
        <f>NETWORKDAYS.INTL(DATE(2018,1,1),DATE(2018,12,31),1,{"2018/1/1";"2018/3/30";"2018/4/2";"2018/5/1";"2018/5/8";"2018/7/5";"2018/7/6";"2018/09/28";"2018/11/17";"2018/12/24";"2018/12/25";"2018/12/26"})</f>
        <v>250</v>
      </c>
      <c r="T7" s="231">
        <f t="shared" si="0"/>
        <v>115</v>
      </c>
      <c r="U7" s="231">
        <f t="shared" si="1"/>
        <v>365</v>
      </c>
      <c r="V7" s="232">
        <f t="shared" si="2"/>
        <v>0</v>
      </c>
      <c r="W7" s="233">
        <f t="shared" si="3"/>
        <v>0</v>
      </c>
      <c r="X7" s="234">
        <f t="shared" si="4"/>
        <v>0</v>
      </c>
      <c r="Y7" s="234">
        <f t="shared" si="4"/>
        <v>0</v>
      </c>
    </row>
    <row r="8" spans="1:25" ht="15" x14ac:dyDescent="0.25">
      <c r="A8" s="356" t="s">
        <v>1617</v>
      </c>
      <c r="B8" s="437" t="s">
        <v>54</v>
      </c>
      <c r="C8" s="437"/>
      <c r="D8" s="535">
        <f>VLOOKUP(C8,'Seznam HS - nemaš'!$A$1:$B$96,2,FALSE)</f>
        <v>0</v>
      </c>
      <c r="E8" s="444">
        <v>103</v>
      </c>
      <c r="F8" s="479" t="s">
        <v>1619</v>
      </c>
      <c r="G8" s="479"/>
      <c r="H8" s="224">
        <f>+IF(ISBLANK(I8),0,VLOOKUP(I8,'8Příloha_2_ceník_pravid_úklid'!$B$9:$C$30,2,0))</f>
        <v>17</v>
      </c>
      <c r="I8" s="438" t="s">
        <v>13</v>
      </c>
      <c r="J8" s="440">
        <v>48.55</v>
      </c>
      <c r="K8" s="438" t="s">
        <v>50</v>
      </c>
      <c r="L8" s="477" t="s">
        <v>387</v>
      </c>
      <c r="M8" s="442"/>
      <c r="N8" s="229" t="s">
        <v>501</v>
      </c>
      <c r="O8" s="230">
        <v>0</v>
      </c>
      <c r="P8" s="230">
        <v>0</v>
      </c>
      <c r="Q8" s="230">
        <v>0</v>
      </c>
      <c r="R8" s="230">
        <v>0</v>
      </c>
      <c r="S8" s="231">
        <f>NETWORKDAYS.INTL(DATE(2018,1,1),DATE(2018,12,31),1,{"2018/1/1";"2018/3/30";"2018/4/2";"2018/5/1";"2018/5/8";"2018/7/5";"2018/7/6";"2018/09/28";"2018/11/17";"2018/12/24";"2018/12/25";"2018/12/26"})</f>
        <v>250</v>
      </c>
      <c r="T8" s="231">
        <f t="shared" si="0"/>
        <v>115</v>
      </c>
      <c r="U8" s="231">
        <f t="shared" si="1"/>
        <v>365</v>
      </c>
      <c r="V8" s="232">
        <f t="shared" si="2"/>
        <v>0</v>
      </c>
      <c r="W8" s="233">
        <f t="shared" si="3"/>
        <v>0</v>
      </c>
      <c r="X8" s="234">
        <f t="shared" si="4"/>
        <v>0</v>
      </c>
      <c r="Y8" s="234">
        <f t="shared" si="4"/>
        <v>0</v>
      </c>
    </row>
    <row r="9" spans="1:25" ht="15" x14ac:dyDescent="0.25">
      <c r="A9" s="480" t="s">
        <v>1620</v>
      </c>
      <c r="B9" s="412" t="s">
        <v>54</v>
      </c>
      <c r="C9" s="412" t="s">
        <v>254</v>
      </c>
      <c r="D9" s="139" t="str">
        <f>VLOOKUP(C9,'Seznam HS - nemaš'!$A$1:$B$96,2,FALSE)</f>
        <v>485000</v>
      </c>
      <c r="E9" s="443">
        <v>104</v>
      </c>
      <c r="F9" s="481" t="s">
        <v>1238</v>
      </c>
      <c r="G9" s="481" t="s">
        <v>1621</v>
      </c>
      <c r="H9" s="28">
        <f>+IF(ISBLANK(I9),0,VLOOKUP(I9,'8Příloha_2_ceník_pravid_úklid'!$B$9:$C$30,2,0))</f>
        <v>17</v>
      </c>
      <c r="I9" s="425" t="s">
        <v>13</v>
      </c>
      <c r="J9" s="427">
        <v>7.5</v>
      </c>
      <c r="K9" s="425" t="s">
        <v>51</v>
      </c>
      <c r="L9" s="447" t="s">
        <v>338</v>
      </c>
      <c r="M9" s="429" t="s">
        <v>49</v>
      </c>
      <c r="N9" s="19">
        <f>IF((VLOOKUP(I9,'8Příloha_2_ceník_pravid_úklid'!$B$9:$I$30,8,0))=0,VLOOKUP(I9,'8Příloha_2_ceník_pravid_úklid'!$B$9:$K$30,10,0),VLOOKUP(I9,'8Příloha_2_ceník_pravid_úklid'!$B$9:$I$30,8,0))</f>
        <v>0</v>
      </c>
      <c r="O9" s="20">
        <v>1</v>
      </c>
      <c r="P9" s="20">
        <f>2/5</f>
        <v>0.4</v>
      </c>
      <c r="Q9" s="20">
        <v>0</v>
      </c>
      <c r="R9" s="20">
        <v>0</v>
      </c>
      <c r="S9" s="21">
        <f>NETWORKDAYS.INTL(DATE(2018,1,1),DATE(2018,12,31),1,{"2018/1/1";"2018/3/30";"2018/4/2";"2018/5/1";"2018/5/8";"2018/7/5";"2018/7/6";"2018/09/28";"2018/11/17";"2018/12/24";"2018/12/25";"2018/12/26"})</f>
        <v>250</v>
      </c>
      <c r="T9" s="21">
        <f t="shared" si="0"/>
        <v>115</v>
      </c>
      <c r="U9" s="21">
        <f t="shared" si="1"/>
        <v>365</v>
      </c>
      <c r="V9" s="144">
        <f t="shared" si="2"/>
        <v>100</v>
      </c>
      <c r="W9" s="140">
        <f t="shared" si="3"/>
        <v>0</v>
      </c>
      <c r="X9" s="141">
        <f t="shared" si="4"/>
        <v>0</v>
      </c>
      <c r="Y9" s="141">
        <v>0</v>
      </c>
    </row>
    <row r="10" spans="1:25" ht="15" x14ac:dyDescent="0.25">
      <c r="A10" s="480" t="s">
        <v>1620</v>
      </c>
      <c r="B10" s="412" t="s">
        <v>54</v>
      </c>
      <c r="C10" s="412" t="s">
        <v>254</v>
      </c>
      <c r="D10" s="139" t="str">
        <f>VLOOKUP(C10,'Seznam HS - nemaš'!$A$1:$B$96,2,FALSE)</f>
        <v>485000</v>
      </c>
      <c r="E10" s="443">
        <v>105</v>
      </c>
      <c r="F10" s="481" t="s">
        <v>1622</v>
      </c>
      <c r="G10" s="481" t="s">
        <v>1621</v>
      </c>
      <c r="H10" s="28">
        <f>+IF(ISBLANK(I10),0,VLOOKUP(I10,'8Příloha_2_ceník_pravid_úklid'!$B$9:$C$30,2,0))</f>
        <v>4</v>
      </c>
      <c r="I10" s="425" t="s">
        <v>9</v>
      </c>
      <c r="J10" s="427">
        <v>16.5</v>
      </c>
      <c r="K10" s="425" t="s">
        <v>51</v>
      </c>
      <c r="L10" s="447" t="s">
        <v>21</v>
      </c>
      <c r="M10" s="429" t="s">
        <v>49</v>
      </c>
      <c r="N10" s="19">
        <f>IF((VLOOKUP(I10,'8Příloha_2_ceník_pravid_úklid'!$B$9:$I$30,8,0))=0,VLOOKUP(I10,'8Příloha_2_ceník_pravid_úklid'!$B$9:$K$30,10,0),VLOOKUP(I10,'8Příloha_2_ceník_pravid_úklid'!$B$9:$I$30,8,0))</f>
        <v>0</v>
      </c>
      <c r="O10" s="20">
        <v>1</v>
      </c>
      <c r="P10" s="20">
        <v>1</v>
      </c>
      <c r="Q10" s="20">
        <v>0</v>
      </c>
      <c r="R10" s="20">
        <v>0</v>
      </c>
      <c r="S10" s="21">
        <f>NETWORKDAYS.INTL(DATE(2018,1,1),DATE(2018,12,31),1,{"2018/1/1";"2018/3/30";"2018/4/2";"2018/5/1";"2018/5/8";"2018/7/5";"2018/7/6";"2018/09/28";"2018/11/17";"2018/12/24";"2018/12/25";"2018/12/26"})</f>
        <v>250</v>
      </c>
      <c r="T10" s="21">
        <f t="shared" si="0"/>
        <v>115</v>
      </c>
      <c r="U10" s="21">
        <f t="shared" si="1"/>
        <v>365</v>
      </c>
      <c r="V10" s="144">
        <f t="shared" si="2"/>
        <v>250</v>
      </c>
      <c r="W10" s="140">
        <f t="shared" si="3"/>
        <v>0</v>
      </c>
      <c r="X10" s="141">
        <f t="shared" si="4"/>
        <v>0</v>
      </c>
      <c r="Y10" s="141">
        <v>0</v>
      </c>
    </row>
    <row r="11" spans="1:25" ht="15" x14ac:dyDescent="0.25">
      <c r="A11" s="480" t="s">
        <v>1620</v>
      </c>
      <c r="B11" s="412" t="s">
        <v>54</v>
      </c>
      <c r="C11" s="412" t="s">
        <v>254</v>
      </c>
      <c r="D11" s="139" t="str">
        <f>VLOOKUP(C11,'Seznam HS - nemaš'!$A$1:$B$96,2,FALSE)</f>
        <v>485000</v>
      </c>
      <c r="E11" s="443">
        <v>106</v>
      </c>
      <c r="F11" s="481" t="s">
        <v>1623</v>
      </c>
      <c r="G11" s="481" t="s">
        <v>1621</v>
      </c>
      <c r="H11" s="28">
        <f>+IF(ISBLANK(I11),0,VLOOKUP(I11,'8Příloha_2_ceník_pravid_úklid'!$B$9:$C$30,2,0))</f>
        <v>17</v>
      </c>
      <c r="I11" s="425" t="s">
        <v>13</v>
      </c>
      <c r="J11" s="427">
        <v>12</v>
      </c>
      <c r="K11" s="425" t="s">
        <v>51</v>
      </c>
      <c r="L11" s="447" t="s">
        <v>338</v>
      </c>
      <c r="M11" s="429" t="s">
        <v>49</v>
      </c>
      <c r="N11" s="19">
        <f>IF((VLOOKUP(I11,'8Příloha_2_ceník_pravid_úklid'!$B$9:$I$30,8,0))=0,VLOOKUP(I11,'8Příloha_2_ceník_pravid_úklid'!$B$9:$K$30,10,0),VLOOKUP(I11,'8Příloha_2_ceník_pravid_úklid'!$B$9:$I$30,8,0))</f>
        <v>0</v>
      </c>
      <c r="O11" s="20">
        <v>1</v>
      </c>
      <c r="P11" s="20">
        <f>2/5</f>
        <v>0.4</v>
      </c>
      <c r="Q11" s="20">
        <v>0</v>
      </c>
      <c r="R11" s="20">
        <v>0</v>
      </c>
      <c r="S11" s="21">
        <f>NETWORKDAYS.INTL(DATE(2018,1,1),DATE(2018,12,31),1,{"2018/1/1";"2018/3/30";"2018/4/2";"2018/5/1";"2018/5/8";"2018/7/5";"2018/7/6";"2018/09/28";"2018/11/17";"2018/12/24";"2018/12/25";"2018/12/26"})</f>
        <v>250</v>
      </c>
      <c r="T11" s="21">
        <f t="shared" si="0"/>
        <v>115</v>
      </c>
      <c r="U11" s="21">
        <f t="shared" si="1"/>
        <v>365</v>
      </c>
      <c r="V11" s="144">
        <f t="shared" si="2"/>
        <v>100</v>
      </c>
      <c r="W11" s="140">
        <f t="shared" si="3"/>
        <v>0</v>
      </c>
      <c r="X11" s="141">
        <f t="shared" si="4"/>
        <v>0</v>
      </c>
      <c r="Y11" s="141">
        <v>0</v>
      </c>
    </row>
    <row r="12" spans="1:25" ht="15" x14ac:dyDescent="0.25">
      <c r="A12" s="487" t="s">
        <v>1620</v>
      </c>
      <c r="B12" s="419" t="s">
        <v>54</v>
      </c>
      <c r="C12" s="419"/>
      <c r="D12" s="139">
        <f>VLOOKUP(C12,'Seznam HS - nemaš'!$A$1:$B$96,2,FALSE)</f>
        <v>0</v>
      </c>
      <c r="E12" s="488">
        <v>107</v>
      </c>
      <c r="F12" s="489" t="s">
        <v>55</v>
      </c>
      <c r="G12" s="489"/>
      <c r="H12" s="28">
        <f>+IF(ISBLANK(I12),0,VLOOKUP(I12,'8Příloha_2_ceník_pravid_úklid'!$B$9:$C$30,2,0))</f>
        <v>6</v>
      </c>
      <c r="I12" s="488" t="s">
        <v>1</v>
      </c>
      <c r="J12" s="422">
        <v>31.16</v>
      </c>
      <c r="K12" s="420" t="s">
        <v>51</v>
      </c>
      <c r="L12" s="423" t="s">
        <v>22</v>
      </c>
      <c r="M12" s="424" t="s">
        <v>49</v>
      </c>
      <c r="N12" s="19">
        <f>IF((VLOOKUP(I12,'8Příloha_2_ceník_pravid_úklid'!$B$9:$I$30,8,0))=0,VLOOKUP(I12,'8Příloha_2_ceník_pravid_úklid'!$B$9:$K$30,10,0),VLOOKUP(I12,'8Příloha_2_ceník_pravid_úklid'!$B$9:$I$30,8,0))</f>
        <v>0</v>
      </c>
      <c r="O12" s="25">
        <v>2</v>
      </c>
      <c r="P12" s="25">
        <v>1</v>
      </c>
      <c r="Q12" s="25">
        <v>2</v>
      </c>
      <c r="R12" s="25">
        <v>1</v>
      </c>
      <c r="S12" s="26">
        <f>NETWORKDAYS.INTL(DATE(2018,1,1),DATE(2018,12,31),1,{"2018/1/1";"2018/3/30";"2018/4/2";"2018/5/1";"2018/5/8";"2018/7/5";"2018/7/6";"2018/09/28";"2018/11/17";"2018/12/24";"2018/12/25";"2018/12/26"})</f>
        <v>250</v>
      </c>
      <c r="T12" s="26">
        <f t="shared" si="0"/>
        <v>115</v>
      </c>
      <c r="U12" s="26">
        <f t="shared" si="1"/>
        <v>365</v>
      </c>
      <c r="V12" s="153">
        <f t="shared" si="2"/>
        <v>730</v>
      </c>
      <c r="W12" s="173">
        <f t="shared" si="3"/>
        <v>0</v>
      </c>
      <c r="X12" s="174">
        <f t="shared" si="4"/>
        <v>0</v>
      </c>
      <c r="Y12" s="141">
        <v>0</v>
      </c>
    </row>
    <row r="13" spans="1:25" ht="15" x14ac:dyDescent="0.25">
      <c r="A13" s="480" t="s">
        <v>1620</v>
      </c>
      <c r="B13" s="412" t="s">
        <v>54</v>
      </c>
      <c r="C13" s="412"/>
      <c r="D13" s="139">
        <f>VLOOKUP(C13,'Seznam HS - nemaš'!$A$1:$B$96,2,FALSE)</f>
        <v>0</v>
      </c>
      <c r="E13" s="443">
        <v>108</v>
      </c>
      <c r="F13" s="481" t="s">
        <v>1618</v>
      </c>
      <c r="G13" s="481"/>
      <c r="H13" s="28">
        <f>+IF(ISBLANK(I13),0,VLOOKUP(I13,'8Příloha_2_ceník_pravid_úklid'!$B$9:$C$30,2,0))</f>
        <v>8</v>
      </c>
      <c r="I13" s="425" t="s">
        <v>11</v>
      </c>
      <c r="J13" s="427">
        <v>13.03</v>
      </c>
      <c r="K13" s="425" t="s">
        <v>50</v>
      </c>
      <c r="L13" s="428" t="s">
        <v>22</v>
      </c>
      <c r="M13" s="429" t="s">
        <v>49</v>
      </c>
      <c r="N13" s="19">
        <f>IF((VLOOKUP(I13,'8Příloha_2_ceník_pravid_úklid'!$B$9:$I$30,8,0))=0,VLOOKUP(I13,'8Příloha_2_ceník_pravid_úklid'!$B$9:$K$30,10,0),VLOOKUP(I13,'8Příloha_2_ceník_pravid_úklid'!$B$9:$I$30,8,0))</f>
        <v>0</v>
      </c>
      <c r="O13" s="20">
        <v>2</v>
      </c>
      <c r="P13" s="20">
        <v>1</v>
      </c>
      <c r="Q13" s="20">
        <v>2</v>
      </c>
      <c r="R13" s="20">
        <v>1</v>
      </c>
      <c r="S13" s="21">
        <f>NETWORKDAYS.INTL(DATE(2018,1,1),DATE(2018,12,31),1,{"2018/1/1";"2018/3/30";"2018/4/2";"2018/5/1";"2018/5/8";"2018/7/5";"2018/7/6";"2018/09/28";"2018/11/17";"2018/12/24";"2018/12/25";"2018/12/26"})</f>
        <v>250</v>
      </c>
      <c r="T13" s="21">
        <f t="shared" si="0"/>
        <v>115</v>
      </c>
      <c r="U13" s="21">
        <f t="shared" si="1"/>
        <v>365</v>
      </c>
      <c r="V13" s="144">
        <f t="shared" si="2"/>
        <v>730</v>
      </c>
      <c r="W13" s="140">
        <f t="shared" si="3"/>
        <v>0</v>
      </c>
      <c r="X13" s="141">
        <f t="shared" si="4"/>
        <v>0</v>
      </c>
      <c r="Y13" s="141">
        <v>0</v>
      </c>
    </row>
    <row r="14" spans="1:25" ht="15" x14ac:dyDescent="0.25">
      <c r="A14" s="480" t="s">
        <v>1620</v>
      </c>
      <c r="B14" s="412" t="s">
        <v>54</v>
      </c>
      <c r="C14" s="412"/>
      <c r="D14" s="139">
        <f>VLOOKUP(C14,'Seznam HS - nemaš'!$A$1:$B$96,2,FALSE)</f>
        <v>0</v>
      </c>
      <c r="E14" s="443">
        <v>109</v>
      </c>
      <c r="F14" s="481" t="s">
        <v>1624</v>
      </c>
      <c r="G14" s="481"/>
      <c r="H14" s="28">
        <f>+IF(ISBLANK(I14),0,VLOOKUP(I14,'8Příloha_2_ceník_pravid_úklid'!$B$9:$C$30,2,0))</f>
        <v>11</v>
      </c>
      <c r="I14" s="425" t="s">
        <v>7</v>
      </c>
      <c r="J14" s="427">
        <v>7.44</v>
      </c>
      <c r="K14" s="425" t="s">
        <v>51</v>
      </c>
      <c r="L14" s="428" t="s">
        <v>22</v>
      </c>
      <c r="M14" s="429" t="s">
        <v>49</v>
      </c>
      <c r="N14" s="19">
        <f>IF((VLOOKUP(I14,'8Příloha_2_ceník_pravid_úklid'!$B$9:$I$30,8,0))=0,VLOOKUP(I14,'8Příloha_2_ceník_pravid_úklid'!$B$9:$K$30,10,0),VLOOKUP(I14,'8Příloha_2_ceník_pravid_úklid'!$B$9:$I$30,8,0))</f>
        <v>0</v>
      </c>
      <c r="O14" s="20">
        <v>2</v>
      </c>
      <c r="P14" s="20">
        <v>1</v>
      </c>
      <c r="Q14" s="20">
        <v>2</v>
      </c>
      <c r="R14" s="20">
        <v>1</v>
      </c>
      <c r="S14" s="21">
        <f>NETWORKDAYS.INTL(DATE(2018,1,1),DATE(2018,12,31),1,{"2018/1/1";"2018/3/30";"2018/4/2";"2018/5/1";"2018/5/8";"2018/7/5";"2018/7/6";"2018/09/28";"2018/11/17";"2018/12/24";"2018/12/25";"2018/12/26"})</f>
        <v>250</v>
      </c>
      <c r="T14" s="21">
        <f t="shared" si="0"/>
        <v>115</v>
      </c>
      <c r="U14" s="21">
        <f t="shared" si="1"/>
        <v>365</v>
      </c>
      <c r="V14" s="144">
        <f t="shared" si="2"/>
        <v>730</v>
      </c>
      <c r="W14" s="140">
        <f t="shared" si="3"/>
        <v>0</v>
      </c>
      <c r="X14" s="141">
        <f t="shared" si="4"/>
        <v>0</v>
      </c>
      <c r="Y14" s="234">
        <v>0</v>
      </c>
    </row>
    <row r="15" spans="1:25" ht="15" x14ac:dyDescent="0.25">
      <c r="A15" s="356" t="s">
        <v>1620</v>
      </c>
      <c r="B15" s="437" t="s">
        <v>54</v>
      </c>
      <c r="C15" s="437"/>
      <c r="D15" s="535">
        <f>VLOOKUP(C15,'Seznam HS - nemaš'!$A$1:$B$96,2,FALSE)</f>
        <v>0</v>
      </c>
      <c r="E15" s="444">
        <v>110</v>
      </c>
      <c r="F15" s="479" t="s">
        <v>1625</v>
      </c>
      <c r="G15" s="479"/>
      <c r="H15" s="224">
        <f>+IF(ISBLANK(I15),0,VLOOKUP(I15,'8Příloha_2_ceník_pravid_úklid'!$B$9:$C$30,2,0))</f>
        <v>0</v>
      </c>
      <c r="I15" s="438"/>
      <c r="J15" s="440">
        <v>10.5</v>
      </c>
      <c r="K15" s="438"/>
      <c r="L15" s="477" t="s">
        <v>387</v>
      </c>
      <c r="M15" s="442"/>
      <c r="N15" s="229" t="s">
        <v>501</v>
      </c>
      <c r="O15" s="230">
        <v>0</v>
      </c>
      <c r="P15" s="230">
        <v>0</v>
      </c>
      <c r="Q15" s="230">
        <v>0</v>
      </c>
      <c r="R15" s="230">
        <v>0</v>
      </c>
      <c r="S15" s="231">
        <f>NETWORKDAYS.INTL(DATE(2018,1,1),DATE(2018,12,31),1,{"2018/1/1";"2018/3/30";"2018/4/2";"2018/5/1";"2018/5/8";"2018/7/5";"2018/7/6";"2018/09/28";"2018/11/17";"2018/12/24";"2018/12/25";"2018/12/26"})</f>
        <v>250</v>
      </c>
      <c r="T15" s="231">
        <f t="shared" si="0"/>
        <v>115</v>
      </c>
      <c r="U15" s="231">
        <f t="shared" si="1"/>
        <v>365</v>
      </c>
      <c r="V15" s="232">
        <f t="shared" si="2"/>
        <v>0</v>
      </c>
      <c r="W15" s="233">
        <f t="shared" si="3"/>
        <v>0</v>
      </c>
      <c r="X15" s="234">
        <f t="shared" si="4"/>
        <v>0</v>
      </c>
      <c r="Y15" s="234">
        <f t="shared" si="4"/>
        <v>0</v>
      </c>
    </row>
    <row r="16" spans="1:25" ht="15" x14ac:dyDescent="0.25">
      <c r="A16" s="480" t="s">
        <v>1620</v>
      </c>
      <c r="B16" s="412" t="s">
        <v>54</v>
      </c>
      <c r="C16" s="412"/>
      <c r="D16" s="139">
        <f>VLOOKUP(C16,'Seznam HS - nemaš'!$A$1:$B$96,2,FALSE)</f>
        <v>0</v>
      </c>
      <c r="E16" s="443">
        <v>121</v>
      </c>
      <c r="F16" s="481" t="s">
        <v>55</v>
      </c>
      <c r="G16" s="481"/>
      <c r="H16" s="28">
        <f>+IF(ISBLANK(I16),0,VLOOKUP(I16,'8Příloha_2_ceník_pravid_úklid'!$B$9:$C$30,2,0))</f>
        <v>6</v>
      </c>
      <c r="I16" s="425" t="s">
        <v>1</v>
      </c>
      <c r="J16" s="427">
        <v>62.04</v>
      </c>
      <c r="K16" s="425" t="s">
        <v>51</v>
      </c>
      <c r="L16" s="447" t="s">
        <v>21</v>
      </c>
      <c r="M16" s="429" t="s">
        <v>49</v>
      </c>
      <c r="N16" s="19">
        <f>IF((VLOOKUP(I16,'8Příloha_2_ceník_pravid_úklid'!$B$9:$I$30,8,0))=0,VLOOKUP(I16,'8Příloha_2_ceník_pravid_úklid'!$B$9:$K$30,10,0),VLOOKUP(I16,'8Příloha_2_ceník_pravid_úklid'!$B$9:$I$30,8,0))</f>
        <v>0</v>
      </c>
      <c r="O16" s="20">
        <v>1</v>
      </c>
      <c r="P16" s="20">
        <v>1</v>
      </c>
      <c r="Q16" s="20">
        <v>0</v>
      </c>
      <c r="R16" s="20">
        <v>0</v>
      </c>
      <c r="S16" s="21">
        <f>NETWORKDAYS.INTL(DATE(2018,1,1),DATE(2018,12,31),1,{"2018/1/1";"2018/3/30";"2018/4/2";"2018/5/1";"2018/5/8";"2018/7/5";"2018/7/6";"2018/09/28";"2018/11/17";"2018/12/24";"2018/12/25";"2018/12/26"})</f>
        <v>250</v>
      </c>
      <c r="T16" s="21">
        <f t="shared" si="0"/>
        <v>115</v>
      </c>
      <c r="U16" s="21">
        <f t="shared" si="1"/>
        <v>365</v>
      </c>
      <c r="V16" s="144">
        <f t="shared" si="2"/>
        <v>250</v>
      </c>
      <c r="W16" s="140">
        <f t="shared" si="3"/>
        <v>0</v>
      </c>
      <c r="X16" s="141">
        <f t="shared" si="4"/>
        <v>0</v>
      </c>
      <c r="Y16" s="141">
        <v>0</v>
      </c>
    </row>
    <row r="17" spans="1:25" ht="15" x14ac:dyDescent="0.25">
      <c r="A17" s="480" t="s">
        <v>1620</v>
      </c>
      <c r="B17" s="412" t="s">
        <v>54</v>
      </c>
      <c r="C17" s="412" t="s">
        <v>145</v>
      </c>
      <c r="D17" s="139" t="str">
        <f>VLOOKUP(C17,'Seznam HS - nemaš'!$A$1:$B$96,2,FALSE)</f>
        <v>402400</v>
      </c>
      <c r="E17" s="443">
        <v>122</v>
      </c>
      <c r="F17" s="481" t="s">
        <v>1626</v>
      </c>
      <c r="G17" s="481"/>
      <c r="H17" s="28">
        <f>+IF(ISBLANK(I17),0,VLOOKUP(I17,'8Příloha_2_ceník_pravid_úklid'!$B$9:$C$30,2,0))</f>
        <v>2</v>
      </c>
      <c r="I17" s="425" t="s">
        <v>2</v>
      </c>
      <c r="J17" s="427">
        <v>23.82</v>
      </c>
      <c r="K17" s="425" t="s">
        <v>51</v>
      </c>
      <c r="L17" s="447" t="s">
        <v>21</v>
      </c>
      <c r="M17" s="429" t="s">
        <v>49</v>
      </c>
      <c r="N17" s="19">
        <f>IF((VLOOKUP(I17,'8Příloha_2_ceník_pravid_úklid'!$B$9:$I$30,8,0))=0,VLOOKUP(I17,'8Příloha_2_ceník_pravid_úklid'!$B$9:$K$30,10,0),VLOOKUP(I17,'8Příloha_2_ceník_pravid_úklid'!$B$9:$I$30,8,0))</f>
        <v>0</v>
      </c>
      <c r="O17" s="20">
        <v>1</v>
      </c>
      <c r="P17" s="20">
        <v>1</v>
      </c>
      <c r="Q17" s="20">
        <v>0</v>
      </c>
      <c r="R17" s="20">
        <v>0</v>
      </c>
      <c r="S17" s="21">
        <f>NETWORKDAYS.INTL(DATE(2018,1,1),DATE(2018,12,31),1,{"2018/1/1";"2018/3/30";"2018/4/2";"2018/5/1";"2018/5/8";"2018/7/5";"2018/7/6";"2018/09/28";"2018/11/17";"2018/12/24";"2018/12/25";"2018/12/26"})</f>
        <v>250</v>
      </c>
      <c r="T17" s="21">
        <f t="shared" si="0"/>
        <v>115</v>
      </c>
      <c r="U17" s="21">
        <f t="shared" si="1"/>
        <v>365</v>
      </c>
      <c r="V17" s="144">
        <f t="shared" si="2"/>
        <v>250</v>
      </c>
      <c r="W17" s="140">
        <f t="shared" si="3"/>
        <v>0</v>
      </c>
      <c r="X17" s="141">
        <f t="shared" si="4"/>
        <v>0</v>
      </c>
      <c r="Y17" s="141">
        <v>0</v>
      </c>
    </row>
    <row r="18" spans="1:25" ht="15" x14ac:dyDescent="0.25">
      <c r="A18" s="480" t="s">
        <v>1620</v>
      </c>
      <c r="B18" s="412" t="s">
        <v>54</v>
      </c>
      <c r="C18" s="412" t="s">
        <v>145</v>
      </c>
      <c r="D18" s="139" t="str">
        <f>VLOOKUP(C18,'Seznam HS - nemaš'!$A$1:$B$96,2,FALSE)</f>
        <v>402400</v>
      </c>
      <c r="E18" s="443">
        <v>123</v>
      </c>
      <c r="F18" s="481" t="s">
        <v>1627</v>
      </c>
      <c r="G18" s="481"/>
      <c r="H18" s="28">
        <f>+IF(ISBLANK(I18),0,VLOOKUP(I18,'8Příloha_2_ceník_pravid_úklid'!$B$9:$C$30,2,0))</f>
        <v>2</v>
      </c>
      <c r="I18" s="425" t="s">
        <v>2</v>
      </c>
      <c r="J18" s="427">
        <v>24.66</v>
      </c>
      <c r="K18" s="425" t="s">
        <v>51</v>
      </c>
      <c r="L18" s="447" t="s">
        <v>21</v>
      </c>
      <c r="M18" s="429" t="s">
        <v>49</v>
      </c>
      <c r="N18" s="19">
        <f>IF((VLOOKUP(I18,'8Příloha_2_ceník_pravid_úklid'!$B$9:$I$30,8,0))=0,VLOOKUP(I18,'8Příloha_2_ceník_pravid_úklid'!$B$9:$K$30,10,0),VLOOKUP(I18,'8Příloha_2_ceník_pravid_úklid'!$B$9:$I$30,8,0))</f>
        <v>0</v>
      </c>
      <c r="O18" s="20">
        <v>1</v>
      </c>
      <c r="P18" s="20">
        <v>1</v>
      </c>
      <c r="Q18" s="20">
        <v>0</v>
      </c>
      <c r="R18" s="20">
        <v>0</v>
      </c>
      <c r="S18" s="21">
        <f>NETWORKDAYS.INTL(DATE(2018,1,1),DATE(2018,12,31),1,{"2018/1/1";"2018/3/30";"2018/4/2";"2018/5/1";"2018/5/8";"2018/7/5";"2018/7/6";"2018/09/28";"2018/11/17";"2018/12/24";"2018/12/25";"2018/12/26"})</f>
        <v>250</v>
      </c>
      <c r="T18" s="21">
        <f t="shared" si="0"/>
        <v>115</v>
      </c>
      <c r="U18" s="21">
        <f t="shared" si="1"/>
        <v>365</v>
      </c>
      <c r="V18" s="144">
        <f t="shared" si="2"/>
        <v>250</v>
      </c>
      <c r="W18" s="140">
        <f t="shared" si="3"/>
        <v>0</v>
      </c>
      <c r="X18" s="141">
        <f t="shared" si="4"/>
        <v>0</v>
      </c>
      <c r="Y18" s="141">
        <v>0</v>
      </c>
    </row>
    <row r="19" spans="1:25" ht="15" x14ac:dyDescent="0.25">
      <c r="A19" s="480" t="s">
        <v>1620</v>
      </c>
      <c r="B19" s="412" t="s">
        <v>54</v>
      </c>
      <c r="C19" s="412"/>
      <c r="D19" s="139">
        <f>VLOOKUP(C19,'Seznam HS - nemaš'!$A$1:$B$96,2,FALSE)</f>
        <v>0</v>
      </c>
      <c r="E19" s="443">
        <v>124</v>
      </c>
      <c r="F19" s="481" t="s">
        <v>70</v>
      </c>
      <c r="G19" s="481"/>
      <c r="H19" s="28">
        <f>+IF(ISBLANK(I19),0,VLOOKUP(I19,'8Příloha_2_ceník_pravid_úklid'!$B$9:$C$30,2,0))</f>
        <v>4</v>
      </c>
      <c r="I19" s="425" t="s">
        <v>9</v>
      </c>
      <c r="J19" s="427">
        <v>13.14</v>
      </c>
      <c r="K19" s="425" t="s">
        <v>51</v>
      </c>
      <c r="L19" s="447" t="s">
        <v>21</v>
      </c>
      <c r="M19" s="429" t="s">
        <v>49</v>
      </c>
      <c r="N19" s="19">
        <f>IF((VLOOKUP(I19,'8Příloha_2_ceník_pravid_úklid'!$B$9:$I$30,8,0))=0,VLOOKUP(I19,'8Příloha_2_ceník_pravid_úklid'!$B$9:$K$30,10,0),VLOOKUP(I19,'8Příloha_2_ceník_pravid_úklid'!$B$9:$I$30,8,0))</f>
        <v>0</v>
      </c>
      <c r="O19" s="20">
        <v>1</v>
      </c>
      <c r="P19" s="20">
        <v>1</v>
      </c>
      <c r="Q19" s="20">
        <v>0</v>
      </c>
      <c r="R19" s="20">
        <v>0</v>
      </c>
      <c r="S19" s="21">
        <f>NETWORKDAYS.INTL(DATE(2018,1,1),DATE(2018,12,31),1,{"2018/1/1";"2018/3/30";"2018/4/2";"2018/5/1";"2018/5/8";"2018/7/5";"2018/7/6";"2018/09/28";"2018/11/17";"2018/12/24";"2018/12/25";"2018/12/26"})</f>
        <v>250</v>
      </c>
      <c r="T19" s="21">
        <f t="shared" si="0"/>
        <v>115</v>
      </c>
      <c r="U19" s="21">
        <f t="shared" si="1"/>
        <v>365</v>
      </c>
      <c r="V19" s="144">
        <f t="shared" si="2"/>
        <v>250</v>
      </c>
      <c r="W19" s="140">
        <f t="shared" si="3"/>
        <v>0</v>
      </c>
      <c r="X19" s="141">
        <f t="shared" si="4"/>
        <v>0</v>
      </c>
      <c r="Y19" s="141">
        <v>0</v>
      </c>
    </row>
    <row r="20" spans="1:25" ht="15" x14ac:dyDescent="0.25">
      <c r="A20" s="480" t="s">
        <v>1620</v>
      </c>
      <c r="B20" s="412" t="s">
        <v>54</v>
      </c>
      <c r="C20" s="412" t="s">
        <v>145</v>
      </c>
      <c r="D20" s="139" t="str">
        <f>VLOOKUP(C20,'Seznam HS - nemaš'!$A$1:$B$96,2,FALSE)</f>
        <v>402400</v>
      </c>
      <c r="E20" s="443">
        <v>125</v>
      </c>
      <c r="F20" s="481" t="s">
        <v>1628</v>
      </c>
      <c r="G20" s="481"/>
      <c r="H20" s="28">
        <f>+IF(ISBLANK(I20),0,VLOOKUP(I20,'8Příloha_2_ceník_pravid_úklid'!$B$9:$C$30,2,0))</f>
        <v>4</v>
      </c>
      <c r="I20" s="425" t="s">
        <v>9</v>
      </c>
      <c r="J20" s="427">
        <v>11.88</v>
      </c>
      <c r="K20" s="425" t="s">
        <v>51</v>
      </c>
      <c r="L20" s="447" t="s">
        <v>21</v>
      </c>
      <c r="M20" s="429" t="s">
        <v>49</v>
      </c>
      <c r="N20" s="19">
        <f>IF((VLOOKUP(I20,'8Příloha_2_ceník_pravid_úklid'!$B$9:$I$30,8,0))=0,VLOOKUP(I20,'8Příloha_2_ceník_pravid_úklid'!$B$9:$K$30,10,0),VLOOKUP(I20,'8Příloha_2_ceník_pravid_úklid'!$B$9:$I$30,8,0))</f>
        <v>0</v>
      </c>
      <c r="O20" s="20">
        <v>1</v>
      </c>
      <c r="P20" s="20">
        <v>1</v>
      </c>
      <c r="Q20" s="20">
        <v>0</v>
      </c>
      <c r="R20" s="20">
        <v>0</v>
      </c>
      <c r="S20" s="21">
        <f>NETWORKDAYS.INTL(DATE(2018,1,1),DATE(2018,12,31),1,{"2018/1/1";"2018/3/30";"2018/4/2";"2018/5/1";"2018/5/8";"2018/7/5";"2018/7/6";"2018/09/28";"2018/11/17";"2018/12/24";"2018/12/25";"2018/12/26"})</f>
        <v>250</v>
      </c>
      <c r="T20" s="21">
        <f t="shared" si="0"/>
        <v>115</v>
      </c>
      <c r="U20" s="21">
        <f t="shared" si="1"/>
        <v>365</v>
      </c>
      <c r="V20" s="144">
        <f t="shared" si="2"/>
        <v>250</v>
      </c>
      <c r="W20" s="140">
        <f t="shared" si="3"/>
        <v>0</v>
      </c>
      <c r="X20" s="141">
        <f t="shared" si="4"/>
        <v>0</v>
      </c>
      <c r="Y20" s="141">
        <v>0</v>
      </c>
    </row>
    <row r="21" spans="1:25" ht="15" x14ac:dyDescent="0.25">
      <c r="A21" s="480" t="s">
        <v>1620</v>
      </c>
      <c r="B21" s="412" t="s">
        <v>54</v>
      </c>
      <c r="C21" s="412"/>
      <c r="D21" s="139">
        <f>VLOOKUP(C21,'Seznam HS - nemaš'!$A$1:$B$96,2,FALSE)</f>
        <v>0</v>
      </c>
      <c r="E21" s="443">
        <v>126</v>
      </c>
      <c r="F21" s="481" t="s">
        <v>1629</v>
      </c>
      <c r="G21" s="481"/>
      <c r="H21" s="28">
        <f>+IF(ISBLANK(I21),0,VLOOKUP(I21,'8Příloha_2_ceník_pravid_úklid'!$B$9:$C$30,2,0))</f>
        <v>6</v>
      </c>
      <c r="I21" s="425" t="s">
        <v>1</v>
      </c>
      <c r="J21" s="427">
        <v>7.25</v>
      </c>
      <c r="K21" s="425" t="s">
        <v>51</v>
      </c>
      <c r="L21" s="447" t="s">
        <v>21</v>
      </c>
      <c r="M21" s="429" t="s">
        <v>49</v>
      </c>
      <c r="N21" s="19">
        <f>IF((VLOOKUP(I21,'8Příloha_2_ceník_pravid_úklid'!$B$9:$I$30,8,0))=0,VLOOKUP(I21,'8Příloha_2_ceník_pravid_úklid'!$B$9:$K$30,10,0),VLOOKUP(I21,'8Příloha_2_ceník_pravid_úklid'!$B$9:$I$30,8,0))</f>
        <v>0</v>
      </c>
      <c r="O21" s="20">
        <v>1</v>
      </c>
      <c r="P21" s="20">
        <v>1</v>
      </c>
      <c r="Q21" s="20">
        <v>0</v>
      </c>
      <c r="R21" s="20">
        <v>0</v>
      </c>
      <c r="S21" s="21">
        <f>NETWORKDAYS.INTL(DATE(2018,1,1),DATE(2018,12,31),1,{"2018/1/1";"2018/3/30";"2018/4/2";"2018/5/1";"2018/5/8";"2018/7/5";"2018/7/6";"2018/09/28";"2018/11/17";"2018/12/24";"2018/12/25";"2018/12/26"})</f>
        <v>250</v>
      </c>
      <c r="T21" s="21">
        <f t="shared" si="0"/>
        <v>115</v>
      </c>
      <c r="U21" s="21">
        <f t="shared" si="1"/>
        <v>365</v>
      </c>
      <c r="V21" s="144">
        <f t="shared" si="2"/>
        <v>250</v>
      </c>
      <c r="W21" s="140">
        <f t="shared" si="3"/>
        <v>0</v>
      </c>
      <c r="X21" s="141">
        <f t="shared" si="4"/>
        <v>0</v>
      </c>
      <c r="Y21" s="141">
        <v>0</v>
      </c>
    </row>
    <row r="22" spans="1:25" ht="15" x14ac:dyDescent="0.25">
      <c r="A22" s="480" t="s">
        <v>1620</v>
      </c>
      <c r="B22" s="412" t="s">
        <v>54</v>
      </c>
      <c r="C22" s="412"/>
      <c r="D22" s="139">
        <f>VLOOKUP(C22,'Seznam HS - nemaš'!$A$1:$B$96,2,FALSE)</f>
        <v>0</v>
      </c>
      <c r="E22" s="443">
        <v>127</v>
      </c>
      <c r="F22" s="481" t="s">
        <v>1630</v>
      </c>
      <c r="G22" s="481"/>
      <c r="H22" s="28">
        <f>+IF(ISBLANK(I22),0,VLOOKUP(I22,'8Příloha_2_ceník_pravid_úklid'!$B$9:$C$30,2,0))</f>
        <v>6</v>
      </c>
      <c r="I22" s="425" t="s">
        <v>1</v>
      </c>
      <c r="J22" s="427">
        <v>48.75</v>
      </c>
      <c r="K22" s="425" t="s">
        <v>51</v>
      </c>
      <c r="L22" s="447" t="s">
        <v>21</v>
      </c>
      <c r="M22" s="429" t="s">
        <v>49</v>
      </c>
      <c r="N22" s="19">
        <f>IF((VLOOKUP(I22,'8Příloha_2_ceník_pravid_úklid'!$B$9:$I$30,8,0))=0,VLOOKUP(I22,'8Příloha_2_ceník_pravid_úklid'!$B$9:$K$30,10,0),VLOOKUP(I22,'8Příloha_2_ceník_pravid_úklid'!$B$9:$I$30,8,0))</f>
        <v>0</v>
      </c>
      <c r="O22" s="20">
        <v>1</v>
      </c>
      <c r="P22" s="20">
        <v>1</v>
      </c>
      <c r="Q22" s="20">
        <v>0</v>
      </c>
      <c r="R22" s="20">
        <v>0</v>
      </c>
      <c r="S22" s="21">
        <f>NETWORKDAYS.INTL(DATE(2018,1,1),DATE(2018,12,31),1,{"2018/1/1";"2018/3/30";"2018/4/2";"2018/5/1";"2018/5/8";"2018/7/5";"2018/7/6";"2018/09/28";"2018/11/17";"2018/12/24";"2018/12/25";"2018/12/26"})</f>
        <v>250</v>
      </c>
      <c r="T22" s="21">
        <f t="shared" si="0"/>
        <v>115</v>
      </c>
      <c r="U22" s="21">
        <f t="shared" si="1"/>
        <v>365</v>
      </c>
      <c r="V22" s="144">
        <f t="shared" si="2"/>
        <v>250</v>
      </c>
      <c r="W22" s="140">
        <f t="shared" si="3"/>
        <v>0</v>
      </c>
      <c r="X22" s="141">
        <f t="shared" si="4"/>
        <v>0</v>
      </c>
      <c r="Y22" s="141">
        <v>0</v>
      </c>
    </row>
    <row r="23" spans="1:25" ht="15" x14ac:dyDescent="0.25">
      <c r="A23" s="480" t="s">
        <v>1620</v>
      </c>
      <c r="B23" s="412" t="s">
        <v>54</v>
      </c>
      <c r="C23" s="412" t="s">
        <v>147</v>
      </c>
      <c r="D23" s="139" t="str">
        <f>VLOOKUP(C23,'Seznam HS - nemaš'!$A$1:$B$96,2,FALSE)</f>
        <v>402401</v>
      </c>
      <c r="E23" s="443">
        <v>128</v>
      </c>
      <c r="F23" s="481" t="s">
        <v>1631</v>
      </c>
      <c r="G23" s="481"/>
      <c r="H23" s="28">
        <f>+IF(ISBLANK(I23),0,VLOOKUP(I23,'8Příloha_2_ceník_pravid_úklid'!$B$9:$C$30,2,0))</f>
        <v>2</v>
      </c>
      <c r="I23" s="425" t="s">
        <v>2</v>
      </c>
      <c r="J23" s="427">
        <v>24.66</v>
      </c>
      <c r="K23" s="425" t="s">
        <v>51</v>
      </c>
      <c r="L23" s="447" t="s">
        <v>21</v>
      </c>
      <c r="M23" s="429" t="s">
        <v>49</v>
      </c>
      <c r="N23" s="19">
        <f>IF((VLOOKUP(I23,'8Příloha_2_ceník_pravid_úklid'!$B$9:$I$30,8,0))=0,VLOOKUP(I23,'8Příloha_2_ceník_pravid_úklid'!$B$9:$K$30,10,0),VLOOKUP(I23,'8Příloha_2_ceník_pravid_úklid'!$B$9:$I$30,8,0))</f>
        <v>0</v>
      </c>
      <c r="O23" s="20">
        <v>1</v>
      </c>
      <c r="P23" s="20">
        <v>1</v>
      </c>
      <c r="Q23" s="20">
        <v>0</v>
      </c>
      <c r="R23" s="20">
        <v>0</v>
      </c>
      <c r="S23" s="21">
        <f>NETWORKDAYS.INTL(DATE(2018,1,1),DATE(2018,12,31),1,{"2018/1/1";"2018/3/30";"2018/4/2";"2018/5/1";"2018/5/8";"2018/7/5";"2018/7/6";"2018/09/28";"2018/11/17";"2018/12/24";"2018/12/25";"2018/12/26"})</f>
        <v>250</v>
      </c>
      <c r="T23" s="21">
        <f t="shared" si="0"/>
        <v>115</v>
      </c>
      <c r="U23" s="21">
        <f t="shared" si="1"/>
        <v>365</v>
      </c>
      <c r="V23" s="144">
        <f t="shared" si="2"/>
        <v>250</v>
      </c>
      <c r="W23" s="140">
        <f t="shared" si="3"/>
        <v>0</v>
      </c>
      <c r="X23" s="141">
        <f t="shared" si="4"/>
        <v>0</v>
      </c>
      <c r="Y23" s="141">
        <v>0</v>
      </c>
    </row>
    <row r="24" spans="1:25" ht="15" x14ac:dyDescent="0.25">
      <c r="A24" s="480" t="s">
        <v>1620</v>
      </c>
      <c r="B24" s="412" t="s">
        <v>54</v>
      </c>
      <c r="C24" s="412" t="s">
        <v>145</v>
      </c>
      <c r="D24" s="139" t="str">
        <f>VLOOKUP(C24,'Seznam HS - nemaš'!$A$1:$B$96,2,FALSE)</f>
        <v>402400</v>
      </c>
      <c r="E24" s="443">
        <v>129</v>
      </c>
      <c r="F24" s="481" t="s">
        <v>1626</v>
      </c>
      <c r="G24" s="481"/>
      <c r="H24" s="28">
        <f>+IF(ISBLANK(I24),0,VLOOKUP(I24,'8Příloha_2_ceník_pravid_úklid'!$B$9:$C$30,2,0))</f>
        <v>2</v>
      </c>
      <c r="I24" s="425" t="s">
        <v>2</v>
      </c>
      <c r="J24" s="427">
        <v>24.66</v>
      </c>
      <c r="K24" s="425" t="s">
        <v>51</v>
      </c>
      <c r="L24" s="447" t="s">
        <v>21</v>
      </c>
      <c r="M24" s="429" t="s">
        <v>49</v>
      </c>
      <c r="N24" s="19">
        <f>IF((VLOOKUP(I24,'8Příloha_2_ceník_pravid_úklid'!$B$9:$I$30,8,0))=0,VLOOKUP(I24,'8Příloha_2_ceník_pravid_úklid'!$B$9:$K$30,10,0),VLOOKUP(I24,'8Příloha_2_ceník_pravid_úklid'!$B$9:$I$30,8,0))</f>
        <v>0</v>
      </c>
      <c r="O24" s="20">
        <v>1</v>
      </c>
      <c r="P24" s="20">
        <v>1</v>
      </c>
      <c r="Q24" s="20">
        <v>0</v>
      </c>
      <c r="R24" s="20">
        <v>0</v>
      </c>
      <c r="S24" s="21">
        <f>NETWORKDAYS.INTL(DATE(2018,1,1),DATE(2018,12,31),1,{"2018/1/1";"2018/3/30";"2018/4/2";"2018/5/1";"2018/5/8";"2018/7/5";"2018/7/6";"2018/09/28";"2018/11/17";"2018/12/24";"2018/12/25";"2018/12/26"})</f>
        <v>250</v>
      </c>
      <c r="T24" s="21">
        <f t="shared" si="0"/>
        <v>115</v>
      </c>
      <c r="U24" s="21">
        <f t="shared" si="1"/>
        <v>365</v>
      </c>
      <c r="V24" s="144">
        <f t="shared" si="2"/>
        <v>250</v>
      </c>
      <c r="W24" s="140">
        <f t="shared" si="3"/>
        <v>0</v>
      </c>
      <c r="X24" s="141">
        <f t="shared" si="4"/>
        <v>0</v>
      </c>
      <c r="Y24" s="141">
        <v>0</v>
      </c>
    </row>
    <row r="25" spans="1:25" ht="15" x14ac:dyDescent="0.25">
      <c r="A25" s="480" t="s">
        <v>1620</v>
      </c>
      <c r="B25" s="412" t="s">
        <v>54</v>
      </c>
      <c r="C25" s="412" t="s">
        <v>149</v>
      </c>
      <c r="D25" s="139" t="str">
        <f>VLOOKUP(C25,'Seznam HS - nemaš'!$A$1:$B$96,2,FALSE)</f>
        <v>402402</v>
      </c>
      <c r="E25" s="443">
        <v>130</v>
      </c>
      <c r="F25" s="481" t="s">
        <v>1632</v>
      </c>
      <c r="G25" s="481"/>
      <c r="H25" s="28">
        <f>+IF(ISBLANK(I25),0,VLOOKUP(I25,'8Příloha_2_ceník_pravid_úklid'!$B$9:$C$30,2,0))</f>
        <v>2</v>
      </c>
      <c r="I25" s="425" t="s">
        <v>2</v>
      </c>
      <c r="J25" s="427">
        <v>24.66</v>
      </c>
      <c r="K25" s="425" t="s">
        <v>51</v>
      </c>
      <c r="L25" s="447" t="s">
        <v>21</v>
      </c>
      <c r="M25" s="429" t="s">
        <v>49</v>
      </c>
      <c r="N25" s="19">
        <f>IF((VLOOKUP(I25,'8Příloha_2_ceník_pravid_úklid'!$B$9:$I$30,8,0))=0,VLOOKUP(I25,'8Příloha_2_ceník_pravid_úklid'!$B$9:$K$30,10,0),VLOOKUP(I25,'8Příloha_2_ceník_pravid_úklid'!$B$9:$I$30,8,0))</f>
        <v>0</v>
      </c>
      <c r="O25" s="20">
        <v>1</v>
      </c>
      <c r="P25" s="20">
        <v>1</v>
      </c>
      <c r="Q25" s="20">
        <v>0</v>
      </c>
      <c r="R25" s="20">
        <v>0</v>
      </c>
      <c r="S25" s="21">
        <f>NETWORKDAYS.INTL(DATE(2018,1,1),DATE(2018,12,31),1,{"2018/1/1";"2018/3/30";"2018/4/2";"2018/5/1";"2018/5/8";"2018/7/5";"2018/7/6";"2018/09/28";"2018/11/17";"2018/12/24";"2018/12/25";"2018/12/26"})</f>
        <v>250</v>
      </c>
      <c r="T25" s="21">
        <f t="shared" si="0"/>
        <v>115</v>
      </c>
      <c r="U25" s="21">
        <f t="shared" si="1"/>
        <v>365</v>
      </c>
      <c r="V25" s="144">
        <f t="shared" si="2"/>
        <v>250</v>
      </c>
      <c r="W25" s="140">
        <f t="shared" si="3"/>
        <v>0</v>
      </c>
      <c r="X25" s="141">
        <f t="shared" si="4"/>
        <v>0</v>
      </c>
      <c r="Y25" s="141">
        <v>0</v>
      </c>
    </row>
    <row r="26" spans="1:25" ht="15" x14ac:dyDescent="0.25">
      <c r="A26" s="480" t="s">
        <v>1620</v>
      </c>
      <c r="B26" s="412" t="s">
        <v>54</v>
      </c>
      <c r="C26" s="412" t="s">
        <v>145</v>
      </c>
      <c r="D26" s="139" t="str">
        <f>VLOOKUP(C26,'Seznam HS - nemaš'!$A$1:$B$96,2,FALSE)</f>
        <v>402400</v>
      </c>
      <c r="E26" s="443">
        <v>131</v>
      </c>
      <c r="F26" s="481" t="s">
        <v>543</v>
      </c>
      <c r="G26" s="481"/>
      <c r="H26" s="28">
        <f>+IF(ISBLANK(I26),0,VLOOKUP(I26,'8Příloha_2_ceník_pravid_úklid'!$B$9:$C$30,2,0))</f>
        <v>3</v>
      </c>
      <c r="I26" s="425" t="s">
        <v>3</v>
      </c>
      <c r="J26" s="427">
        <v>24.75</v>
      </c>
      <c r="K26" s="425"/>
      <c r="L26" s="428" t="s">
        <v>21</v>
      </c>
      <c r="M26" s="429" t="s">
        <v>49</v>
      </c>
      <c r="N26" s="19">
        <f>IF((VLOOKUP(I26,'8Příloha_2_ceník_pravid_úklid'!$B$9:$I$30,8,0))=0,VLOOKUP(I26,'8Příloha_2_ceník_pravid_úklid'!$B$9:$K$30,10,0),VLOOKUP(I26,'8Příloha_2_ceník_pravid_úklid'!$B$9:$I$30,8,0))</f>
        <v>0</v>
      </c>
      <c r="O26" s="20">
        <v>1</v>
      </c>
      <c r="P26" s="20">
        <v>1</v>
      </c>
      <c r="Q26" s="20">
        <v>0</v>
      </c>
      <c r="R26" s="20">
        <v>0</v>
      </c>
      <c r="S26" s="21">
        <f>NETWORKDAYS.INTL(DATE(2018,1,1),DATE(2018,12,31),1,{"2018/1/1";"2018/3/30";"2018/4/2";"2018/5/1";"2018/5/8";"2018/7/5";"2018/7/6";"2018/09/28";"2018/11/17";"2018/12/24";"2018/12/25";"2018/12/26"})</f>
        <v>250</v>
      </c>
      <c r="T26" s="21">
        <f t="shared" si="0"/>
        <v>115</v>
      </c>
      <c r="U26" s="21">
        <f t="shared" si="1"/>
        <v>365</v>
      </c>
      <c r="V26" s="144">
        <f t="shared" si="2"/>
        <v>250</v>
      </c>
      <c r="W26" s="140">
        <f t="shared" si="3"/>
        <v>0</v>
      </c>
      <c r="X26" s="141">
        <f t="shared" si="4"/>
        <v>0</v>
      </c>
      <c r="Y26" s="141">
        <v>0</v>
      </c>
    </row>
    <row r="27" spans="1:25" ht="15" x14ac:dyDescent="0.25">
      <c r="A27" s="480" t="s">
        <v>1620</v>
      </c>
      <c r="B27" s="412" t="s">
        <v>54</v>
      </c>
      <c r="C27" s="412" t="s">
        <v>173</v>
      </c>
      <c r="D27" s="139" t="str">
        <f>VLOOKUP(C27,'Seznam HS - nemaš'!$A$1:$B$96,2,FALSE)</f>
        <v>411401</v>
      </c>
      <c r="E27" s="443">
        <v>132</v>
      </c>
      <c r="F27" s="481" t="s">
        <v>1633</v>
      </c>
      <c r="G27" s="481" t="s">
        <v>1634</v>
      </c>
      <c r="H27" s="28">
        <f>+IF(ISBLANK(I27),0,VLOOKUP(I27,'8Příloha_2_ceník_pravid_úklid'!$B$9:$C$30,2,0))</f>
        <v>4</v>
      </c>
      <c r="I27" s="425" t="s">
        <v>9</v>
      </c>
      <c r="J27" s="484">
        <v>41.63</v>
      </c>
      <c r="K27" s="425"/>
      <c r="L27" s="428" t="s">
        <v>21</v>
      </c>
      <c r="M27" s="429" t="s">
        <v>49</v>
      </c>
      <c r="N27" s="19">
        <f>IF((VLOOKUP(I27,'8Příloha_2_ceník_pravid_úklid'!$B$9:$I$30,8,0))=0,VLOOKUP(I27,'8Příloha_2_ceník_pravid_úklid'!$B$9:$K$30,10,0),VLOOKUP(I27,'8Příloha_2_ceník_pravid_úklid'!$B$9:$I$30,8,0))</f>
        <v>0</v>
      </c>
      <c r="O27" s="20">
        <v>1</v>
      </c>
      <c r="P27" s="20">
        <v>1</v>
      </c>
      <c r="Q27" s="20">
        <v>0</v>
      </c>
      <c r="R27" s="20">
        <v>0</v>
      </c>
      <c r="S27" s="21">
        <f>NETWORKDAYS.INTL(DATE(2018,1,1),DATE(2018,12,31),1,{"2018/1/1";"2018/3/30";"2018/4/2";"2018/5/1";"2018/5/8";"2018/7/5";"2018/7/6";"2018/09/28";"2018/11/17";"2018/12/24";"2018/12/25";"2018/12/26"})</f>
        <v>250</v>
      </c>
      <c r="T27" s="21">
        <f t="shared" si="0"/>
        <v>115</v>
      </c>
      <c r="U27" s="21">
        <f t="shared" si="1"/>
        <v>365</v>
      </c>
      <c r="V27" s="144">
        <f t="shared" si="2"/>
        <v>250</v>
      </c>
      <c r="W27" s="140">
        <f t="shared" si="3"/>
        <v>0</v>
      </c>
      <c r="X27" s="141">
        <f t="shared" si="4"/>
        <v>0</v>
      </c>
      <c r="Y27" s="141">
        <v>0</v>
      </c>
    </row>
    <row r="28" spans="1:25" ht="15" x14ac:dyDescent="0.25">
      <c r="A28" s="480" t="s">
        <v>1620</v>
      </c>
      <c r="B28" s="412" t="s">
        <v>54</v>
      </c>
      <c r="C28" s="412"/>
      <c r="D28" s="139">
        <f>VLOOKUP(C28,'Seznam HS - nemaš'!$A$1:$B$96,2,FALSE)</f>
        <v>0</v>
      </c>
      <c r="E28" s="443">
        <v>133</v>
      </c>
      <c r="F28" s="481" t="s">
        <v>55</v>
      </c>
      <c r="G28" s="481"/>
      <c r="H28" s="28">
        <f>+IF(ISBLANK(I28),0,VLOOKUP(I28,'8Příloha_2_ceník_pravid_úklid'!$B$9:$C$30,2,0))</f>
        <v>6</v>
      </c>
      <c r="I28" s="425" t="s">
        <v>1</v>
      </c>
      <c r="J28" s="427">
        <v>8.44</v>
      </c>
      <c r="K28" s="425" t="s">
        <v>51</v>
      </c>
      <c r="L28" s="447" t="s">
        <v>21</v>
      </c>
      <c r="M28" s="429" t="s">
        <v>49</v>
      </c>
      <c r="N28" s="19">
        <f>IF((VLOOKUP(I28,'8Příloha_2_ceník_pravid_úklid'!$B$9:$I$30,8,0))=0,VLOOKUP(I28,'8Příloha_2_ceník_pravid_úklid'!$B$9:$K$30,10,0),VLOOKUP(I28,'8Příloha_2_ceník_pravid_úklid'!$B$9:$I$30,8,0))</f>
        <v>0</v>
      </c>
      <c r="O28" s="20">
        <v>1</v>
      </c>
      <c r="P28" s="20">
        <v>1</v>
      </c>
      <c r="Q28" s="20">
        <v>0</v>
      </c>
      <c r="R28" s="20">
        <v>0</v>
      </c>
      <c r="S28" s="21">
        <f>NETWORKDAYS.INTL(DATE(2018,1,1),DATE(2018,12,31),1,{"2018/1/1";"2018/3/30";"2018/4/2";"2018/5/1";"2018/5/8";"2018/7/5";"2018/7/6";"2018/09/28";"2018/11/17";"2018/12/24";"2018/12/25";"2018/12/26"})</f>
        <v>250</v>
      </c>
      <c r="T28" s="21">
        <f t="shared" si="0"/>
        <v>115</v>
      </c>
      <c r="U28" s="21">
        <f t="shared" si="1"/>
        <v>365</v>
      </c>
      <c r="V28" s="144">
        <f t="shared" si="2"/>
        <v>250</v>
      </c>
      <c r="W28" s="140">
        <f t="shared" si="3"/>
        <v>0</v>
      </c>
      <c r="X28" s="141">
        <f t="shared" si="4"/>
        <v>0</v>
      </c>
      <c r="Y28" s="141">
        <v>0</v>
      </c>
    </row>
    <row r="29" spans="1:25" ht="15" x14ac:dyDescent="0.25">
      <c r="A29" s="480" t="s">
        <v>1620</v>
      </c>
      <c r="B29" s="412" t="s">
        <v>54</v>
      </c>
      <c r="C29" s="412"/>
      <c r="D29" s="139">
        <f>VLOOKUP(C29,'Seznam HS - nemaš'!$A$1:$B$96,2,FALSE)</f>
        <v>0</v>
      </c>
      <c r="E29" s="443">
        <v>134</v>
      </c>
      <c r="F29" s="481" t="s">
        <v>1635</v>
      </c>
      <c r="G29" s="481"/>
      <c r="H29" s="28">
        <f>+IF(ISBLANK(I29),0,VLOOKUP(I29,'8Příloha_2_ceník_pravid_úklid'!$B$9:$C$30,2,0))</f>
        <v>7</v>
      </c>
      <c r="I29" s="425" t="s">
        <v>14</v>
      </c>
      <c r="J29" s="427">
        <v>3.05</v>
      </c>
      <c r="K29" s="425" t="s">
        <v>50</v>
      </c>
      <c r="L29" s="447" t="s">
        <v>21</v>
      </c>
      <c r="M29" s="429" t="s">
        <v>49</v>
      </c>
      <c r="N29" s="19">
        <f>IF((VLOOKUP(I29,'8Příloha_2_ceník_pravid_úklid'!$B$9:$I$30,8,0))=0,VLOOKUP(I29,'8Příloha_2_ceník_pravid_úklid'!$B$9:$K$30,10,0),VLOOKUP(I29,'8Příloha_2_ceník_pravid_úklid'!$B$9:$I$30,8,0))</f>
        <v>0</v>
      </c>
      <c r="O29" s="20">
        <v>1</v>
      </c>
      <c r="P29" s="20">
        <v>1</v>
      </c>
      <c r="Q29" s="20">
        <v>0</v>
      </c>
      <c r="R29" s="20">
        <v>0</v>
      </c>
      <c r="S29" s="21">
        <f>NETWORKDAYS.INTL(DATE(2018,1,1),DATE(2018,12,31),1,{"2018/1/1";"2018/3/30";"2018/4/2";"2018/5/1";"2018/5/8";"2018/7/5";"2018/7/6";"2018/09/28";"2018/11/17";"2018/12/24";"2018/12/25";"2018/12/26"})</f>
        <v>250</v>
      </c>
      <c r="T29" s="21">
        <f t="shared" si="0"/>
        <v>115</v>
      </c>
      <c r="U29" s="21">
        <f t="shared" si="1"/>
        <v>365</v>
      </c>
      <c r="V29" s="144">
        <f t="shared" si="2"/>
        <v>250</v>
      </c>
      <c r="W29" s="140">
        <f t="shared" si="3"/>
        <v>0</v>
      </c>
      <c r="X29" s="141">
        <f t="shared" si="4"/>
        <v>0</v>
      </c>
      <c r="Y29" s="141">
        <v>0</v>
      </c>
    </row>
    <row r="30" spans="1:25" ht="15" x14ac:dyDescent="0.25">
      <c r="A30" s="480" t="s">
        <v>1620</v>
      </c>
      <c r="B30" s="412" t="s">
        <v>54</v>
      </c>
      <c r="C30" s="412"/>
      <c r="D30" s="139">
        <f>VLOOKUP(C30,'Seznam HS - nemaš'!$A$1:$B$96,2,FALSE)</f>
        <v>0</v>
      </c>
      <c r="E30" s="443">
        <v>135</v>
      </c>
      <c r="F30" s="481" t="s">
        <v>1635</v>
      </c>
      <c r="G30" s="481"/>
      <c r="H30" s="28">
        <f>+IF(ISBLANK(I30),0,VLOOKUP(I30,'8Příloha_2_ceník_pravid_úklid'!$B$9:$C$30,2,0))</f>
        <v>7</v>
      </c>
      <c r="I30" s="425" t="s">
        <v>14</v>
      </c>
      <c r="J30" s="427">
        <v>3.05</v>
      </c>
      <c r="K30" s="425" t="s">
        <v>50</v>
      </c>
      <c r="L30" s="447" t="s">
        <v>21</v>
      </c>
      <c r="M30" s="429" t="s">
        <v>49</v>
      </c>
      <c r="N30" s="19">
        <f>IF((VLOOKUP(I30,'8Příloha_2_ceník_pravid_úklid'!$B$9:$I$30,8,0))=0,VLOOKUP(I30,'8Příloha_2_ceník_pravid_úklid'!$B$9:$K$30,10,0),VLOOKUP(I30,'8Příloha_2_ceník_pravid_úklid'!$B$9:$I$30,8,0))</f>
        <v>0</v>
      </c>
      <c r="O30" s="20">
        <v>1</v>
      </c>
      <c r="P30" s="20">
        <v>1</v>
      </c>
      <c r="Q30" s="20">
        <v>0</v>
      </c>
      <c r="R30" s="20">
        <v>0</v>
      </c>
      <c r="S30" s="21">
        <f>NETWORKDAYS.INTL(DATE(2018,1,1),DATE(2018,12,31),1,{"2018/1/1";"2018/3/30";"2018/4/2";"2018/5/1";"2018/5/8";"2018/7/5";"2018/7/6";"2018/09/28";"2018/11/17";"2018/12/24";"2018/12/25";"2018/12/26"})</f>
        <v>250</v>
      </c>
      <c r="T30" s="21">
        <f t="shared" si="0"/>
        <v>115</v>
      </c>
      <c r="U30" s="21">
        <f t="shared" si="1"/>
        <v>365</v>
      </c>
      <c r="V30" s="144">
        <f t="shared" si="2"/>
        <v>250</v>
      </c>
      <c r="W30" s="140">
        <f t="shared" si="3"/>
        <v>0</v>
      </c>
      <c r="X30" s="141">
        <f t="shared" si="4"/>
        <v>0</v>
      </c>
      <c r="Y30" s="141">
        <v>0</v>
      </c>
    </row>
    <row r="31" spans="1:25" ht="15" x14ac:dyDescent="0.25">
      <c r="A31" s="480" t="s">
        <v>1620</v>
      </c>
      <c r="B31" s="412" t="s">
        <v>54</v>
      </c>
      <c r="C31" s="412"/>
      <c r="D31" s="139">
        <f>VLOOKUP(C31,'Seznam HS - nemaš'!$A$1:$B$96,2,FALSE)</f>
        <v>0</v>
      </c>
      <c r="E31" s="443">
        <v>136</v>
      </c>
      <c r="F31" s="481" t="s">
        <v>1636</v>
      </c>
      <c r="G31" s="481"/>
      <c r="H31" s="28">
        <f>+IF(ISBLANK(I31),0,VLOOKUP(I31,'8Příloha_2_ceník_pravid_úklid'!$B$9:$C$30,2,0))</f>
        <v>17</v>
      </c>
      <c r="I31" s="425" t="s">
        <v>13</v>
      </c>
      <c r="J31" s="427">
        <v>4.5</v>
      </c>
      <c r="K31" s="425" t="s">
        <v>51</v>
      </c>
      <c r="L31" s="445" t="s">
        <v>637</v>
      </c>
      <c r="M31" s="429" t="s">
        <v>49</v>
      </c>
      <c r="N31" s="19">
        <f>IF((VLOOKUP(I31,'8Příloha_2_ceník_pravid_úklid'!$B$9:$I$30,8,0))=0,VLOOKUP(I31,'8Příloha_2_ceník_pravid_úklid'!$B$9:$K$30,10,0),VLOOKUP(I31,'8Příloha_2_ceník_pravid_úklid'!$B$9:$I$30,8,0))</f>
        <v>0</v>
      </c>
      <c r="O31" s="20">
        <v>1</v>
      </c>
      <c r="P31" s="20">
        <f>2/5</f>
        <v>0.4</v>
      </c>
      <c r="Q31" s="20">
        <v>0</v>
      </c>
      <c r="R31" s="20">
        <v>0</v>
      </c>
      <c r="S31" s="21">
        <f>NETWORKDAYS.INTL(DATE(2018,1,1),DATE(2018,12,31),1,{"2018/1/1";"2018/3/30";"2018/4/2";"2018/5/1";"2018/5/8";"2018/7/5";"2018/7/6";"2018/09/28";"2018/11/17";"2018/12/24";"2018/12/25";"2018/12/26"})</f>
        <v>250</v>
      </c>
      <c r="T31" s="21">
        <f t="shared" si="0"/>
        <v>115</v>
      </c>
      <c r="U31" s="21">
        <f t="shared" si="1"/>
        <v>365</v>
      </c>
      <c r="V31" s="144">
        <f t="shared" si="2"/>
        <v>100</v>
      </c>
      <c r="W31" s="140">
        <f t="shared" si="3"/>
        <v>0</v>
      </c>
      <c r="X31" s="141">
        <f t="shared" si="4"/>
        <v>0</v>
      </c>
      <c r="Y31" s="141">
        <v>0</v>
      </c>
    </row>
    <row r="32" spans="1:25" ht="15" x14ac:dyDescent="0.25">
      <c r="A32" s="356" t="s">
        <v>1620</v>
      </c>
      <c r="B32" s="437" t="s">
        <v>54</v>
      </c>
      <c r="C32" s="437"/>
      <c r="D32" s="535">
        <f>VLOOKUP(C32,'Seznam HS - nemaš'!$A$1:$B$96,2,FALSE)</f>
        <v>0</v>
      </c>
      <c r="E32" s="444">
        <v>137</v>
      </c>
      <c r="F32" s="479" t="s">
        <v>1637</v>
      </c>
      <c r="G32" s="479"/>
      <c r="H32" s="224">
        <f>+IF(ISBLANK(I32),0,VLOOKUP(I32,'8Příloha_2_ceník_pravid_úklid'!$B$9:$C$30,2,0))</f>
        <v>7</v>
      </c>
      <c r="I32" s="438" t="s">
        <v>14</v>
      </c>
      <c r="J32" s="440">
        <v>2.06</v>
      </c>
      <c r="K32" s="438" t="s">
        <v>544</v>
      </c>
      <c r="L32" s="485" t="s">
        <v>66</v>
      </c>
      <c r="M32" s="442"/>
      <c r="N32" s="229" t="s">
        <v>501</v>
      </c>
      <c r="O32" s="230">
        <v>0</v>
      </c>
      <c r="P32" s="230">
        <v>0</v>
      </c>
      <c r="Q32" s="230">
        <v>0</v>
      </c>
      <c r="R32" s="230">
        <v>0</v>
      </c>
      <c r="S32" s="231">
        <f>NETWORKDAYS.INTL(DATE(2018,1,1),DATE(2018,12,31),1,{"2018/1/1";"2018/3/30";"2018/4/2";"2018/5/1";"2018/5/8";"2018/7/5";"2018/7/6";"2018/09/28";"2018/11/17";"2018/12/24";"2018/12/25";"2018/12/26"})</f>
        <v>250</v>
      </c>
      <c r="T32" s="231">
        <f t="shared" si="0"/>
        <v>115</v>
      </c>
      <c r="U32" s="231">
        <f t="shared" si="1"/>
        <v>365</v>
      </c>
      <c r="V32" s="232">
        <f t="shared" si="2"/>
        <v>0</v>
      </c>
      <c r="W32" s="233">
        <f t="shared" si="3"/>
        <v>0</v>
      </c>
      <c r="X32" s="234">
        <f t="shared" si="4"/>
        <v>0</v>
      </c>
      <c r="Y32" s="234">
        <f t="shared" si="4"/>
        <v>0</v>
      </c>
    </row>
    <row r="33" spans="1:25" ht="15" x14ac:dyDescent="0.25">
      <c r="A33" s="480" t="s">
        <v>1620</v>
      </c>
      <c r="B33" s="412" t="s">
        <v>54</v>
      </c>
      <c r="C33" s="412"/>
      <c r="D33" s="139">
        <f>VLOOKUP(C33,'Seznam HS - nemaš'!$A$1:$B$96,2,FALSE)</f>
        <v>0</v>
      </c>
      <c r="E33" s="443">
        <v>141</v>
      </c>
      <c r="F33" s="481" t="s">
        <v>55</v>
      </c>
      <c r="G33" s="481"/>
      <c r="H33" s="28">
        <f>+IF(ISBLANK(I33),0,VLOOKUP(I33,'8Příloha_2_ceník_pravid_úklid'!$B$9:$C$30,2,0))</f>
        <v>6</v>
      </c>
      <c r="I33" s="425" t="s">
        <v>1</v>
      </c>
      <c r="J33" s="427">
        <v>48.38</v>
      </c>
      <c r="K33" s="425" t="s">
        <v>51</v>
      </c>
      <c r="L33" s="447" t="s">
        <v>21</v>
      </c>
      <c r="M33" s="429" t="s">
        <v>49</v>
      </c>
      <c r="N33" s="19">
        <f>IF((VLOOKUP(I33,'8Příloha_2_ceník_pravid_úklid'!$B$9:$I$30,8,0))=0,VLOOKUP(I33,'8Příloha_2_ceník_pravid_úklid'!$B$9:$K$30,10,0),VLOOKUP(I33,'8Příloha_2_ceník_pravid_úklid'!$B$9:$I$30,8,0))</f>
        <v>0</v>
      </c>
      <c r="O33" s="20">
        <v>1</v>
      </c>
      <c r="P33" s="20">
        <v>1</v>
      </c>
      <c r="Q33" s="20">
        <v>0</v>
      </c>
      <c r="R33" s="20">
        <v>0</v>
      </c>
      <c r="S33" s="21">
        <f>NETWORKDAYS.INTL(DATE(2018,1,1),DATE(2018,12,31),1,{"2018/1/1";"2018/3/30";"2018/4/2";"2018/5/1";"2018/5/8";"2018/7/5";"2018/7/6";"2018/09/28";"2018/11/17";"2018/12/24";"2018/12/25";"2018/12/26"})</f>
        <v>250</v>
      </c>
      <c r="T33" s="21">
        <f t="shared" si="0"/>
        <v>115</v>
      </c>
      <c r="U33" s="21">
        <f t="shared" si="1"/>
        <v>365</v>
      </c>
      <c r="V33" s="144">
        <f t="shared" si="2"/>
        <v>250</v>
      </c>
      <c r="W33" s="140">
        <f t="shared" si="3"/>
        <v>0</v>
      </c>
      <c r="X33" s="141">
        <f t="shared" si="4"/>
        <v>0</v>
      </c>
      <c r="Y33" s="141">
        <v>0</v>
      </c>
    </row>
    <row r="34" spans="1:25" ht="15" x14ac:dyDescent="0.25">
      <c r="A34" s="480" t="s">
        <v>1620</v>
      </c>
      <c r="B34" s="412" t="s">
        <v>54</v>
      </c>
      <c r="C34" s="412"/>
      <c r="D34" s="139">
        <f>VLOOKUP(C34,'Seznam HS - nemaš'!$A$1:$B$96,2,FALSE)</f>
        <v>0</v>
      </c>
      <c r="E34" s="443">
        <v>142</v>
      </c>
      <c r="F34" s="481" t="s">
        <v>1638</v>
      </c>
      <c r="G34" s="481"/>
      <c r="H34" s="28">
        <f>+IF(ISBLANK(I34),0,VLOOKUP(I34,'8Příloha_2_ceník_pravid_úklid'!$B$9:$C$30,2,0))</f>
        <v>7</v>
      </c>
      <c r="I34" s="425" t="s">
        <v>14</v>
      </c>
      <c r="J34" s="427">
        <v>3.65</v>
      </c>
      <c r="K34" s="425" t="s">
        <v>50</v>
      </c>
      <c r="L34" s="447" t="s">
        <v>21</v>
      </c>
      <c r="M34" s="429" t="s">
        <v>49</v>
      </c>
      <c r="N34" s="19">
        <f>IF((VLOOKUP(I34,'8Příloha_2_ceník_pravid_úklid'!$B$9:$I$30,8,0))=0,VLOOKUP(I34,'8Příloha_2_ceník_pravid_úklid'!$B$9:$K$30,10,0),VLOOKUP(I34,'8Příloha_2_ceník_pravid_úklid'!$B$9:$I$30,8,0))</f>
        <v>0</v>
      </c>
      <c r="O34" s="20">
        <v>1</v>
      </c>
      <c r="P34" s="20">
        <v>1</v>
      </c>
      <c r="Q34" s="20">
        <v>0</v>
      </c>
      <c r="R34" s="20">
        <v>0</v>
      </c>
      <c r="S34" s="21">
        <f>NETWORKDAYS.INTL(DATE(2018,1,1),DATE(2018,12,31),1,{"2018/1/1";"2018/3/30";"2018/4/2";"2018/5/1";"2018/5/8";"2018/7/5";"2018/7/6";"2018/09/28";"2018/11/17";"2018/12/24";"2018/12/25";"2018/12/26"})</f>
        <v>250</v>
      </c>
      <c r="T34" s="21">
        <f t="shared" si="0"/>
        <v>115</v>
      </c>
      <c r="U34" s="21">
        <f t="shared" si="1"/>
        <v>365</v>
      </c>
      <c r="V34" s="144">
        <f t="shared" si="2"/>
        <v>250</v>
      </c>
      <c r="W34" s="140">
        <f t="shared" si="3"/>
        <v>0</v>
      </c>
      <c r="X34" s="141">
        <f t="shared" si="4"/>
        <v>0</v>
      </c>
      <c r="Y34" s="141">
        <v>0</v>
      </c>
    </row>
    <row r="35" spans="1:25" ht="15" x14ac:dyDescent="0.25">
      <c r="A35" s="480" t="s">
        <v>1620</v>
      </c>
      <c r="B35" s="412" t="s">
        <v>54</v>
      </c>
      <c r="C35" s="412"/>
      <c r="D35" s="139">
        <f>VLOOKUP(C35,'Seznam HS - nemaš'!$A$1:$B$96,2,FALSE)</f>
        <v>0</v>
      </c>
      <c r="E35" s="443">
        <v>143</v>
      </c>
      <c r="F35" s="481" t="s">
        <v>1638</v>
      </c>
      <c r="G35" s="481"/>
      <c r="H35" s="28">
        <f>+IF(ISBLANK(I35),0,VLOOKUP(I35,'8Příloha_2_ceník_pravid_úklid'!$B$9:$C$30,2,0))</f>
        <v>7</v>
      </c>
      <c r="I35" s="425" t="s">
        <v>14</v>
      </c>
      <c r="J35" s="427">
        <v>3.68</v>
      </c>
      <c r="K35" s="425" t="s">
        <v>50</v>
      </c>
      <c r="L35" s="447" t="s">
        <v>21</v>
      </c>
      <c r="M35" s="429" t="s">
        <v>49</v>
      </c>
      <c r="N35" s="19">
        <f>IF((VLOOKUP(I35,'8Příloha_2_ceník_pravid_úklid'!$B$9:$I$30,8,0))=0,VLOOKUP(I35,'8Příloha_2_ceník_pravid_úklid'!$B$9:$K$30,10,0),VLOOKUP(I35,'8Příloha_2_ceník_pravid_úklid'!$B$9:$I$30,8,0))</f>
        <v>0</v>
      </c>
      <c r="O35" s="20">
        <v>1</v>
      </c>
      <c r="P35" s="20">
        <v>1</v>
      </c>
      <c r="Q35" s="20">
        <v>0</v>
      </c>
      <c r="R35" s="20">
        <v>0</v>
      </c>
      <c r="S35" s="21">
        <f>NETWORKDAYS.INTL(DATE(2018,1,1),DATE(2018,12,31),1,{"2018/1/1";"2018/3/30";"2018/4/2";"2018/5/1";"2018/5/8";"2018/7/5";"2018/7/6";"2018/09/28";"2018/11/17";"2018/12/24";"2018/12/25";"2018/12/26"})</f>
        <v>250</v>
      </c>
      <c r="T35" s="21">
        <f t="shared" si="0"/>
        <v>115</v>
      </c>
      <c r="U35" s="21">
        <f t="shared" si="1"/>
        <v>365</v>
      </c>
      <c r="V35" s="144">
        <f t="shared" si="2"/>
        <v>250</v>
      </c>
      <c r="W35" s="140">
        <f t="shared" si="3"/>
        <v>0</v>
      </c>
      <c r="X35" s="141">
        <f t="shared" si="4"/>
        <v>0</v>
      </c>
      <c r="Y35" s="141">
        <v>0</v>
      </c>
    </row>
    <row r="36" spans="1:25" ht="15" x14ac:dyDescent="0.25">
      <c r="A36" s="480" t="s">
        <v>1620</v>
      </c>
      <c r="B36" s="412" t="s">
        <v>54</v>
      </c>
      <c r="C36" s="412"/>
      <c r="D36" s="139">
        <f>VLOOKUP(C36,'Seznam HS - nemaš'!$A$1:$B$96,2,FALSE)</f>
        <v>0</v>
      </c>
      <c r="E36" s="443">
        <v>144</v>
      </c>
      <c r="F36" s="481" t="s">
        <v>1238</v>
      </c>
      <c r="G36" s="481"/>
      <c r="H36" s="28">
        <f>+IF(ISBLANK(I36),0,VLOOKUP(I36,'8Příloha_2_ceník_pravid_úklid'!$B$9:$C$30,2,0))</f>
        <v>17</v>
      </c>
      <c r="I36" s="425" t="s">
        <v>13</v>
      </c>
      <c r="J36" s="427">
        <v>12.16</v>
      </c>
      <c r="K36" s="425" t="s">
        <v>51</v>
      </c>
      <c r="L36" s="446" t="s">
        <v>487</v>
      </c>
      <c r="M36" s="429" t="s">
        <v>49</v>
      </c>
      <c r="N36" s="19">
        <f>IF((VLOOKUP(I36,'8Příloha_2_ceník_pravid_úklid'!$B$9:$I$30,8,0))=0,VLOOKUP(I36,'8Příloha_2_ceník_pravid_úklid'!$B$9:$K$30,10,0),VLOOKUP(I36,'8Příloha_2_ceník_pravid_úklid'!$B$9:$I$30,8,0))</f>
        <v>0</v>
      </c>
      <c r="O36" s="20">
        <v>1</v>
      </c>
      <c r="P36" s="20">
        <f>1/5</f>
        <v>0.2</v>
      </c>
      <c r="Q36" s="20">
        <v>0</v>
      </c>
      <c r="R36" s="20">
        <v>0</v>
      </c>
      <c r="S36" s="21">
        <f>NETWORKDAYS.INTL(DATE(2018,1,1),DATE(2018,12,31),1,{"2018/1/1";"2018/3/30";"2018/4/2";"2018/5/1";"2018/5/8";"2018/7/5";"2018/7/6";"2018/09/28";"2018/11/17";"2018/12/24";"2018/12/25";"2018/12/26"})</f>
        <v>250</v>
      </c>
      <c r="T36" s="21">
        <f t="shared" si="0"/>
        <v>115</v>
      </c>
      <c r="U36" s="21">
        <f t="shared" si="1"/>
        <v>365</v>
      </c>
      <c r="V36" s="144">
        <f t="shared" si="2"/>
        <v>50</v>
      </c>
      <c r="W36" s="140">
        <f t="shared" si="3"/>
        <v>0</v>
      </c>
      <c r="X36" s="141">
        <f t="shared" si="4"/>
        <v>0</v>
      </c>
      <c r="Y36" s="141">
        <v>0</v>
      </c>
    </row>
    <row r="37" spans="1:25" ht="15" x14ac:dyDescent="0.25">
      <c r="A37" s="480" t="s">
        <v>1620</v>
      </c>
      <c r="B37" s="412" t="s">
        <v>54</v>
      </c>
      <c r="C37" s="412"/>
      <c r="D37" s="139">
        <f>VLOOKUP(C37,'Seznam HS - nemaš'!$A$1:$B$96,2,FALSE)</f>
        <v>0</v>
      </c>
      <c r="E37" s="443">
        <v>145</v>
      </c>
      <c r="F37" s="481" t="s">
        <v>1639</v>
      </c>
      <c r="G37" s="481"/>
      <c r="H37" s="28">
        <f>+IF(ISBLANK(I37),0,VLOOKUP(I37,'8Příloha_2_ceník_pravid_úklid'!$B$9:$C$30,2,0))</f>
        <v>4</v>
      </c>
      <c r="I37" s="425" t="s">
        <v>9</v>
      </c>
      <c r="J37" s="427">
        <v>20.27</v>
      </c>
      <c r="K37" s="425" t="s">
        <v>51</v>
      </c>
      <c r="L37" s="446" t="s">
        <v>487</v>
      </c>
      <c r="M37" s="429" t="s">
        <v>49</v>
      </c>
      <c r="N37" s="19">
        <f>IF((VLOOKUP(I37,'8Příloha_2_ceník_pravid_úklid'!$B$9:$I$30,8,0))=0,VLOOKUP(I37,'8Příloha_2_ceník_pravid_úklid'!$B$9:$K$30,10,0),VLOOKUP(I37,'8Příloha_2_ceník_pravid_úklid'!$B$9:$I$30,8,0))</f>
        <v>0</v>
      </c>
      <c r="O37" s="20">
        <v>1</v>
      </c>
      <c r="P37" s="20">
        <f>1/5</f>
        <v>0.2</v>
      </c>
      <c r="Q37" s="20">
        <v>0</v>
      </c>
      <c r="R37" s="20">
        <v>0</v>
      </c>
      <c r="S37" s="21">
        <f>NETWORKDAYS.INTL(DATE(2018,1,1),DATE(2018,12,31),1,{"2018/1/1";"2018/3/30";"2018/4/2";"2018/5/1";"2018/5/8";"2018/7/5";"2018/7/6";"2018/09/28";"2018/11/17";"2018/12/24";"2018/12/25";"2018/12/26"})</f>
        <v>250</v>
      </c>
      <c r="T37" s="21">
        <f t="shared" si="0"/>
        <v>115</v>
      </c>
      <c r="U37" s="21">
        <f t="shared" si="1"/>
        <v>365</v>
      </c>
      <c r="V37" s="144">
        <f t="shared" si="2"/>
        <v>50</v>
      </c>
      <c r="W37" s="140">
        <f t="shared" si="3"/>
        <v>0</v>
      </c>
      <c r="X37" s="141">
        <f t="shared" si="4"/>
        <v>0</v>
      </c>
      <c r="Y37" s="141">
        <v>0</v>
      </c>
    </row>
    <row r="38" spans="1:25" ht="15" x14ac:dyDescent="0.25">
      <c r="A38" s="480" t="s">
        <v>1620</v>
      </c>
      <c r="B38" s="412" t="s">
        <v>54</v>
      </c>
      <c r="C38" s="412"/>
      <c r="D38" s="139">
        <f>VLOOKUP(C38,'Seznam HS - nemaš'!$A$1:$B$96,2,FALSE)</f>
        <v>0</v>
      </c>
      <c r="E38" s="443">
        <v>146</v>
      </c>
      <c r="F38" s="481" t="s">
        <v>1640</v>
      </c>
      <c r="G38" s="481"/>
      <c r="H38" s="28">
        <f>+IF(ISBLANK(I38),0,VLOOKUP(I38,'8Příloha_2_ceník_pravid_úklid'!$B$9:$C$30,2,0))</f>
        <v>7</v>
      </c>
      <c r="I38" s="425" t="s">
        <v>14</v>
      </c>
      <c r="J38" s="427">
        <v>3.67</v>
      </c>
      <c r="K38" s="425" t="s">
        <v>50</v>
      </c>
      <c r="L38" s="446" t="s">
        <v>373</v>
      </c>
      <c r="M38" s="429" t="s">
        <v>49</v>
      </c>
      <c r="N38" s="19">
        <f>IF((VLOOKUP(I38,'8Příloha_2_ceník_pravid_úklid'!$B$9:$I$30,8,0))=0,VLOOKUP(I38,'8Příloha_2_ceník_pravid_úklid'!$B$9:$K$30,10,0),VLOOKUP(I38,'8Příloha_2_ceník_pravid_úklid'!$B$9:$I$30,8,0))</f>
        <v>0</v>
      </c>
      <c r="O38" s="20">
        <v>1</v>
      </c>
      <c r="P38" s="20">
        <f>3/5</f>
        <v>0.6</v>
      </c>
      <c r="Q38" s="20">
        <v>0</v>
      </c>
      <c r="R38" s="20">
        <v>0</v>
      </c>
      <c r="S38" s="21">
        <f>NETWORKDAYS.INTL(DATE(2018,1,1),DATE(2018,12,31),1,{"2018/1/1";"2018/3/30";"2018/4/2";"2018/5/1";"2018/5/8";"2018/7/5";"2018/7/6";"2018/09/28";"2018/11/17";"2018/12/24";"2018/12/25";"2018/12/26"})</f>
        <v>250</v>
      </c>
      <c r="T38" s="21">
        <f t="shared" si="0"/>
        <v>115</v>
      </c>
      <c r="U38" s="21">
        <f t="shared" si="1"/>
        <v>365</v>
      </c>
      <c r="V38" s="144">
        <f t="shared" si="2"/>
        <v>150</v>
      </c>
      <c r="W38" s="140">
        <f t="shared" si="3"/>
        <v>0</v>
      </c>
      <c r="X38" s="141">
        <f t="shared" si="4"/>
        <v>0</v>
      </c>
      <c r="Y38" s="141">
        <v>0</v>
      </c>
    </row>
    <row r="39" spans="1:25" ht="15" x14ac:dyDescent="0.25">
      <c r="A39" s="480" t="s">
        <v>1620</v>
      </c>
      <c r="B39" s="412" t="s">
        <v>54</v>
      </c>
      <c r="C39" s="412"/>
      <c r="D39" s="139">
        <f>VLOOKUP(C39,'Seznam HS - nemaš'!$A$1:$B$96,2,FALSE)</f>
        <v>0</v>
      </c>
      <c r="E39" s="443">
        <v>147</v>
      </c>
      <c r="F39" s="481" t="s">
        <v>1641</v>
      </c>
      <c r="G39" s="481"/>
      <c r="H39" s="28">
        <f>+IF(ISBLANK(I39),0,VLOOKUP(I39,'8Příloha_2_ceník_pravid_úklid'!$B$9:$C$30,2,0))</f>
        <v>10</v>
      </c>
      <c r="I39" s="425" t="s">
        <v>0</v>
      </c>
      <c r="J39" s="427">
        <v>23.62</v>
      </c>
      <c r="K39" s="425" t="s">
        <v>51</v>
      </c>
      <c r="L39" s="447" t="s">
        <v>21</v>
      </c>
      <c r="M39" s="429" t="s">
        <v>49</v>
      </c>
      <c r="N39" s="19">
        <f>IF((VLOOKUP(I39,'8Příloha_2_ceník_pravid_úklid'!$B$9:$I$30,8,0))=0,VLOOKUP(I39,'8Příloha_2_ceník_pravid_úklid'!$B$9:$K$30,10,0),VLOOKUP(I39,'8Příloha_2_ceník_pravid_úklid'!$B$9:$I$30,8,0))</f>
        <v>0</v>
      </c>
      <c r="O39" s="20">
        <v>1</v>
      </c>
      <c r="P39" s="20">
        <v>1</v>
      </c>
      <c r="Q39" s="20">
        <v>0</v>
      </c>
      <c r="R39" s="20">
        <v>0</v>
      </c>
      <c r="S39" s="21">
        <f>NETWORKDAYS.INTL(DATE(2018,1,1),DATE(2018,12,31),1,{"2018/1/1";"2018/3/30";"2018/4/2";"2018/5/1";"2018/5/8";"2018/7/5";"2018/7/6";"2018/09/28";"2018/11/17";"2018/12/24";"2018/12/25";"2018/12/26"})</f>
        <v>250</v>
      </c>
      <c r="T39" s="21">
        <f t="shared" si="0"/>
        <v>115</v>
      </c>
      <c r="U39" s="21">
        <f t="shared" si="1"/>
        <v>365</v>
      </c>
      <c r="V39" s="144">
        <f t="shared" si="2"/>
        <v>250</v>
      </c>
      <c r="W39" s="140">
        <f t="shared" si="3"/>
        <v>0</v>
      </c>
      <c r="X39" s="141">
        <f t="shared" si="4"/>
        <v>0</v>
      </c>
      <c r="Y39" s="141">
        <v>0</v>
      </c>
    </row>
    <row r="40" spans="1:25" ht="15" x14ac:dyDescent="0.25">
      <c r="A40" s="480" t="s">
        <v>1620</v>
      </c>
      <c r="B40" s="412" t="s">
        <v>54</v>
      </c>
      <c r="C40" s="412"/>
      <c r="D40" s="139">
        <f>VLOOKUP(C40,'Seznam HS - nemaš'!$A$1:$B$96,2,FALSE)</f>
        <v>0</v>
      </c>
      <c r="E40" s="443">
        <v>148</v>
      </c>
      <c r="F40" s="481" t="s">
        <v>1640</v>
      </c>
      <c r="G40" s="481"/>
      <c r="H40" s="28">
        <f>+IF(ISBLANK(I40),0,VLOOKUP(I40,'8Příloha_2_ceník_pravid_úklid'!$B$9:$C$30,2,0))</f>
        <v>7</v>
      </c>
      <c r="I40" s="425" t="s">
        <v>14</v>
      </c>
      <c r="J40" s="427">
        <v>3.67</v>
      </c>
      <c r="K40" s="425" t="s">
        <v>50</v>
      </c>
      <c r="L40" s="447" t="s">
        <v>21</v>
      </c>
      <c r="M40" s="429" t="s">
        <v>49</v>
      </c>
      <c r="N40" s="19">
        <f>IF((VLOOKUP(I40,'8Příloha_2_ceník_pravid_úklid'!$B$9:$I$30,8,0))=0,VLOOKUP(I40,'8Příloha_2_ceník_pravid_úklid'!$B$9:$K$30,10,0),VLOOKUP(I40,'8Příloha_2_ceník_pravid_úklid'!$B$9:$I$30,8,0))</f>
        <v>0</v>
      </c>
      <c r="O40" s="20">
        <v>1</v>
      </c>
      <c r="P40" s="20">
        <v>1</v>
      </c>
      <c r="Q40" s="20">
        <v>0</v>
      </c>
      <c r="R40" s="20">
        <v>0</v>
      </c>
      <c r="S40" s="21">
        <f>NETWORKDAYS.INTL(DATE(2018,1,1),DATE(2018,12,31),1,{"2018/1/1";"2018/3/30";"2018/4/2";"2018/5/1";"2018/5/8";"2018/7/5";"2018/7/6";"2018/09/28";"2018/11/17";"2018/12/24";"2018/12/25";"2018/12/26"})</f>
        <v>250</v>
      </c>
      <c r="T40" s="21">
        <f t="shared" si="0"/>
        <v>115</v>
      </c>
      <c r="U40" s="21">
        <f t="shared" si="1"/>
        <v>365</v>
      </c>
      <c r="V40" s="144">
        <f t="shared" si="2"/>
        <v>250</v>
      </c>
      <c r="W40" s="140">
        <f t="shared" si="3"/>
        <v>0</v>
      </c>
      <c r="X40" s="141">
        <f t="shared" si="4"/>
        <v>0</v>
      </c>
      <c r="Y40" s="141">
        <v>0</v>
      </c>
    </row>
    <row r="41" spans="1:25" ht="15" x14ac:dyDescent="0.25">
      <c r="A41" s="480" t="s">
        <v>1620</v>
      </c>
      <c r="B41" s="412" t="s">
        <v>54</v>
      </c>
      <c r="C41" s="412"/>
      <c r="D41" s="139">
        <f>VLOOKUP(C41,'Seznam HS - nemaš'!$A$1:$B$96,2,FALSE)</f>
        <v>0</v>
      </c>
      <c r="E41" s="443">
        <v>149</v>
      </c>
      <c r="F41" s="481" t="s">
        <v>55</v>
      </c>
      <c r="G41" s="481"/>
      <c r="H41" s="28">
        <f>+IF(ISBLANK(I41),0,VLOOKUP(I41,'8Příloha_2_ceník_pravid_úklid'!$B$9:$C$30,2,0))</f>
        <v>6</v>
      </c>
      <c r="I41" s="425" t="s">
        <v>1</v>
      </c>
      <c r="J41" s="427">
        <v>16.45</v>
      </c>
      <c r="K41" s="425" t="s">
        <v>51</v>
      </c>
      <c r="L41" s="447" t="s">
        <v>21</v>
      </c>
      <c r="M41" s="429" t="s">
        <v>49</v>
      </c>
      <c r="N41" s="19">
        <f>IF((VLOOKUP(I41,'8Příloha_2_ceník_pravid_úklid'!$B$9:$I$30,8,0))=0,VLOOKUP(I41,'8Příloha_2_ceník_pravid_úklid'!$B$9:$K$30,10,0),VLOOKUP(I41,'8Příloha_2_ceník_pravid_úklid'!$B$9:$I$30,8,0))</f>
        <v>0</v>
      </c>
      <c r="O41" s="20">
        <v>1</v>
      </c>
      <c r="P41" s="20">
        <v>1</v>
      </c>
      <c r="Q41" s="20">
        <v>0</v>
      </c>
      <c r="R41" s="20">
        <v>0</v>
      </c>
      <c r="S41" s="21">
        <f>NETWORKDAYS.INTL(DATE(2018,1,1),DATE(2018,12,31),1,{"2018/1/1";"2018/3/30";"2018/4/2";"2018/5/1";"2018/5/8";"2018/7/5";"2018/7/6";"2018/09/28";"2018/11/17";"2018/12/24";"2018/12/25";"2018/12/26"})</f>
        <v>250</v>
      </c>
      <c r="T41" s="21">
        <f t="shared" si="0"/>
        <v>115</v>
      </c>
      <c r="U41" s="21">
        <f t="shared" si="1"/>
        <v>365</v>
      </c>
      <c r="V41" s="144">
        <f t="shared" si="2"/>
        <v>250</v>
      </c>
      <c r="W41" s="140">
        <f t="shared" si="3"/>
        <v>0</v>
      </c>
      <c r="X41" s="141">
        <f t="shared" si="4"/>
        <v>0</v>
      </c>
      <c r="Y41" s="141">
        <v>0</v>
      </c>
    </row>
    <row r="42" spans="1:25" ht="15" x14ac:dyDescent="0.25">
      <c r="A42" s="480" t="s">
        <v>1620</v>
      </c>
      <c r="B42" s="412" t="s">
        <v>54</v>
      </c>
      <c r="C42" s="412"/>
      <c r="D42" s="139">
        <f>VLOOKUP(C42,'Seznam HS - nemaš'!$A$1:$B$96,2,FALSE)</f>
        <v>0</v>
      </c>
      <c r="E42" s="443">
        <v>150</v>
      </c>
      <c r="F42" s="481" t="s">
        <v>1639</v>
      </c>
      <c r="G42" s="481"/>
      <c r="H42" s="28">
        <f>+IF(ISBLANK(I42),0,VLOOKUP(I42,'8Příloha_2_ceník_pravid_úklid'!$B$9:$C$30,2,0))</f>
        <v>4</v>
      </c>
      <c r="I42" s="425" t="s">
        <v>9</v>
      </c>
      <c r="J42" s="427">
        <v>17.670000000000002</v>
      </c>
      <c r="K42" s="425" t="s">
        <v>51</v>
      </c>
      <c r="L42" s="446" t="s">
        <v>373</v>
      </c>
      <c r="M42" s="429" t="s">
        <v>49</v>
      </c>
      <c r="N42" s="19">
        <f>IF((VLOOKUP(I42,'8Příloha_2_ceník_pravid_úklid'!$B$9:$I$30,8,0))=0,VLOOKUP(I42,'8Příloha_2_ceník_pravid_úklid'!$B$9:$K$30,10,0),VLOOKUP(I42,'8Příloha_2_ceník_pravid_úklid'!$B$9:$I$30,8,0))</f>
        <v>0</v>
      </c>
      <c r="O42" s="20">
        <v>1</v>
      </c>
      <c r="P42" s="20">
        <f>3/5</f>
        <v>0.6</v>
      </c>
      <c r="Q42" s="20">
        <v>0</v>
      </c>
      <c r="R42" s="20">
        <v>0</v>
      </c>
      <c r="S42" s="21">
        <f>NETWORKDAYS.INTL(DATE(2018,1,1),DATE(2018,12,31),1,{"2018/1/1";"2018/3/30";"2018/4/2";"2018/5/1";"2018/5/8";"2018/7/5";"2018/7/6";"2018/09/28";"2018/11/17";"2018/12/24";"2018/12/25";"2018/12/26"})</f>
        <v>250</v>
      </c>
      <c r="T42" s="21">
        <f t="shared" si="0"/>
        <v>115</v>
      </c>
      <c r="U42" s="21">
        <f t="shared" si="1"/>
        <v>365</v>
      </c>
      <c r="V42" s="144">
        <f t="shared" si="2"/>
        <v>150</v>
      </c>
      <c r="W42" s="140">
        <f t="shared" si="3"/>
        <v>0</v>
      </c>
      <c r="X42" s="141">
        <f t="shared" si="4"/>
        <v>0</v>
      </c>
      <c r="Y42" s="141">
        <v>0</v>
      </c>
    </row>
    <row r="43" spans="1:25" ht="15" x14ac:dyDescent="0.25">
      <c r="A43" s="480" t="s">
        <v>1620</v>
      </c>
      <c r="B43" s="412" t="s">
        <v>54</v>
      </c>
      <c r="C43" s="412"/>
      <c r="D43" s="139">
        <f>VLOOKUP(C43,'Seznam HS - nemaš'!$A$1:$B$96,2,FALSE)</f>
        <v>0</v>
      </c>
      <c r="E43" s="443">
        <v>151</v>
      </c>
      <c r="F43" s="481" t="s">
        <v>1639</v>
      </c>
      <c r="G43" s="481"/>
      <c r="H43" s="28">
        <f>+IF(ISBLANK(I43),0,VLOOKUP(I43,'8Příloha_2_ceník_pravid_úklid'!$B$9:$C$30,2,0))</f>
        <v>4</v>
      </c>
      <c r="I43" s="425" t="s">
        <v>9</v>
      </c>
      <c r="J43" s="427">
        <v>17.670000000000002</v>
      </c>
      <c r="K43" s="425" t="s">
        <v>51</v>
      </c>
      <c r="L43" s="446" t="s">
        <v>373</v>
      </c>
      <c r="M43" s="429" t="s">
        <v>49</v>
      </c>
      <c r="N43" s="19">
        <f>IF((VLOOKUP(I43,'8Příloha_2_ceník_pravid_úklid'!$B$9:$I$30,8,0))=0,VLOOKUP(I43,'8Příloha_2_ceník_pravid_úklid'!$B$9:$K$30,10,0),VLOOKUP(I43,'8Příloha_2_ceník_pravid_úklid'!$B$9:$I$30,8,0))</f>
        <v>0</v>
      </c>
      <c r="O43" s="20">
        <v>1</v>
      </c>
      <c r="P43" s="20">
        <f>3/5</f>
        <v>0.6</v>
      </c>
      <c r="Q43" s="20">
        <v>0</v>
      </c>
      <c r="R43" s="20">
        <v>0</v>
      </c>
      <c r="S43" s="21">
        <f>NETWORKDAYS.INTL(DATE(2018,1,1),DATE(2018,12,31),1,{"2018/1/1";"2018/3/30";"2018/4/2";"2018/5/1";"2018/5/8";"2018/7/5";"2018/7/6";"2018/09/28";"2018/11/17";"2018/12/24";"2018/12/25";"2018/12/26"})</f>
        <v>250</v>
      </c>
      <c r="T43" s="21">
        <f t="shared" si="0"/>
        <v>115</v>
      </c>
      <c r="U43" s="21">
        <f t="shared" si="1"/>
        <v>365</v>
      </c>
      <c r="V43" s="144">
        <f t="shared" si="2"/>
        <v>150</v>
      </c>
      <c r="W43" s="140">
        <f t="shared" si="3"/>
        <v>0</v>
      </c>
      <c r="X43" s="141">
        <f t="shared" si="4"/>
        <v>0</v>
      </c>
      <c r="Y43" s="141">
        <v>0</v>
      </c>
    </row>
    <row r="44" spans="1:25" ht="15" x14ac:dyDescent="0.25">
      <c r="A44" s="480" t="s">
        <v>1620</v>
      </c>
      <c r="B44" s="412" t="s">
        <v>54</v>
      </c>
      <c r="C44" s="412"/>
      <c r="D44" s="139">
        <f>VLOOKUP(C44,'Seznam HS - nemaš'!$A$1:$B$96,2,FALSE)</f>
        <v>0</v>
      </c>
      <c r="E44" s="443">
        <v>152</v>
      </c>
      <c r="F44" s="481" t="s">
        <v>1639</v>
      </c>
      <c r="G44" s="481"/>
      <c r="H44" s="28">
        <f>+IF(ISBLANK(I44),0,VLOOKUP(I44,'8Příloha_2_ceník_pravid_úklid'!$B$9:$C$30,2,0))</f>
        <v>4</v>
      </c>
      <c r="I44" s="425" t="s">
        <v>9</v>
      </c>
      <c r="J44" s="427">
        <v>17.670000000000002</v>
      </c>
      <c r="K44" s="425" t="s">
        <v>51</v>
      </c>
      <c r="L44" s="446" t="s">
        <v>373</v>
      </c>
      <c r="M44" s="429" t="s">
        <v>49</v>
      </c>
      <c r="N44" s="19">
        <f>IF((VLOOKUP(I44,'8Příloha_2_ceník_pravid_úklid'!$B$9:$I$30,8,0))=0,VLOOKUP(I44,'8Příloha_2_ceník_pravid_úklid'!$B$9:$K$30,10,0),VLOOKUP(I44,'8Příloha_2_ceník_pravid_úklid'!$B$9:$I$30,8,0))</f>
        <v>0</v>
      </c>
      <c r="O44" s="20">
        <v>1</v>
      </c>
      <c r="P44" s="20">
        <f>3/5</f>
        <v>0.6</v>
      </c>
      <c r="Q44" s="20">
        <v>0</v>
      </c>
      <c r="R44" s="20">
        <v>0</v>
      </c>
      <c r="S44" s="21">
        <f>NETWORKDAYS.INTL(DATE(2018,1,1),DATE(2018,12,31),1,{"2018/1/1";"2018/3/30";"2018/4/2";"2018/5/1";"2018/5/8";"2018/7/5";"2018/7/6";"2018/09/28";"2018/11/17";"2018/12/24";"2018/12/25";"2018/12/26"})</f>
        <v>250</v>
      </c>
      <c r="T44" s="21">
        <f t="shared" si="0"/>
        <v>115</v>
      </c>
      <c r="U44" s="21">
        <f t="shared" si="1"/>
        <v>365</v>
      </c>
      <c r="V44" s="144">
        <f t="shared" si="2"/>
        <v>150</v>
      </c>
      <c r="W44" s="140">
        <f t="shared" si="3"/>
        <v>0</v>
      </c>
      <c r="X44" s="141">
        <f t="shared" si="4"/>
        <v>0</v>
      </c>
      <c r="Y44" s="141">
        <v>0</v>
      </c>
    </row>
    <row r="45" spans="1:25" ht="15" x14ac:dyDescent="0.25">
      <c r="A45" s="480" t="s">
        <v>1620</v>
      </c>
      <c r="B45" s="412" t="s">
        <v>54</v>
      </c>
      <c r="C45" s="412"/>
      <c r="D45" s="139">
        <f>VLOOKUP(C45,'Seznam HS - nemaš'!$A$1:$B$96,2,FALSE)</f>
        <v>0</v>
      </c>
      <c r="E45" s="443">
        <v>153</v>
      </c>
      <c r="F45" s="481" t="s">
        <v>1640</v>
      </c>
      <c r="G45" s="481"/>
      <c r="H45" s="28">
        <f>+IF(ISBLANK(I45),0,VLOOKUP(I45,'8Příloha_2_ceník_pravid_úklid'!$B$9:$C$30,2,0))</f>
        <v>7</v>
      </c>
      <c r="I45" s="425" t="s">
        <v>14</v>
      </c>
      <c r="J45" s="427">
        <v>3.67</v>
      </c>
      <c r="K45" s="425" t="s">
        <v>50</v>
      </c>
      <c r="L45" s="486" t="s">
        <v>373</v>
      </c>
      <c r="M45" s="429" t="s">
        <v>49</v>
      </c>
      <c r="N45" s="19">
        <f>IF((VLOOKUP(I45,'8Příloha_2_ceník_pravid_úklid'!$B$9:$I$30,8,0))=0,VLOOKUP(I45,'8Příloha_2_ceník_pravid_úklid'!$B$9:$K$30,10,0),VLOOKUP(I45,'8Příloha_2_ceník_pravid_úklid'!$B$9:$I$30,8,0))</f>
        <v>0</v>
      </c>
      <c r="O45" s="20">
        <v>1</v>
      </c>
      <c r="P45" s="20">
        <f>3/5</f>
        <v>0.6</v>
      </c>
      <c r="Q45" s="20">
        <v>0</v>
      </c>
      <c r="R45" s="20">
        <v>0</v>
      </c>
      <c r="S45" s="21">
        <f>NETWORKDAYS.INTL(DATE(2018,1,1),DATE(2018,12,31),1,{"2018/1/1";"2018/3/30";"2018/4/2";"2018/5/1";"2018/5/8";"2018/7/5";"2018/7/6";"2018/09/28";"2018/11/17";"2018/12/24";"2018/12/25";"2018/12/26"})</f>
        <v>250</v>
      </c>
      <c r="T45" s="21">
        <f t="shared" si="0"/>
        <v>115</v>
      </c>
      <c r="U45" s="21">
        <f t="shared" si="1"/>
        <v>365</v>
      </c>
      <c r="V45" s="144">
        <f t="shared" si="2"/>
        <v>150</v>
      </c>
      <c r="W45" s="140">
        <f t="shared" si="3"/>
        <v>0</v>
      </c>
      <c r="X45" s="141">
        <f t="shared" si="4"/>
        <v>0</v>
      </c>
      <c r="Y45" s="141">
        <v>0</v>
      </c>
    </row>
    <row r="46" spans="1:25" ht="15" x14ac:dyDescent="0.25">
      <c r="A46" s="482" t="s">
        <v>1620</v>
      </c>
      <c r="B46" s="451" t="s">
        <v>54</v>
      </c>
      <c r="C46" s="451"/>
      <c r="D46" s="212">
        <f>VLOOKUP(C46,'Seznam HS - nemaš'!$A$1:$B$96,2,FALSE)</f>
        <v>0</v>
      </c>
      <c r="E46" s="452">
        <v>154</v>
      </c>
      <c r="F46" s="483" t="s">
        <v>1642</v>
      </c>
      <c r="G46" s="483"/>
      <c r="H46" s="161">
        <f>+IF(ISBLANK(I46),0,VLOOKUP(I46,'8Příloha_2_ceník_pravid_úklid'!$B$9:$C$30,2,0))</f>
        <v>17</v>
      </c>
      <c r="I46" s="454" t="s">
        <v>13</v>
      </c>
      <c r="J46" s="455">
        <v>4.33</v>
      </c>
      <c r="K46" s="454" t="s">
        <v>51</v>
      </c>
      <c r="L46" s="468" t="s">
        <v>21</v>
      </c>
      <c r="M46" s="457" t="s">
        <v>49</v>
      </c>
      <c r="N46" s="165">
        <f>IF((VLOOKUP(I46,'8Příloha_2_ceník_pravid_úklid'!$B$9:$I$30,8,0))=0,VLOOKUP(I46,'8Příloha_2_ceník_pravid_úklid'!$B$9:$K$30,10,0),VLOOKUP(I46,'8Příloha_2_ceník_pravid_úklid'!$B$9:$I$30,8,0))</f>
        <v>0</v>
      </c>
      <c r="O46" s="166">
        <v>1</v>
      </c>
      <c r="P46" s="166">
        <v>1</v>
      </c>
      <c r="Q46" s="166">
        <v>0</v>
      </c>
      <c r="R46" s="166">
        <v>0</v>
      </c>
      <c r="S46" s="167">
        <f>NETWORKDAYS.INTL(DATE(2018,1,1),DATE(2018,12,31),1,{"2018/1/1";"2018/3/30";"2018/4/2";"2018/5/1";"2018/5/8";"2018/7/5";"2018/7/6";"2018/09/28";"2018/11/17";"2018/12/24";"2018/12/25";"2018/12/26"})</f>
        <v>250</v>
      </c>
      <c r="T46" s="167">
        <f t="shared" si="0"/>
        <v>115</v>
      </c>
      <c r="U46" s="167">
        <f t="shared" si="1"/>
        <v>365</v>
      </c>
      <c r="V46" s="168">
        <f t="shared" si="2"/>
        <v>250</v>
      </c>
      <c r="W46" s="169">
        <f t="shared" si="3"/>
        <v>0</v>
      </c>
      <c r="X46" s="170">
        <f t="shared" si="4"/>
        <v>0</v>
      </c>
      <c r="Y46" s="574">
        <v>0</v>
      </c>
    </row>
    <row r="47" spans="1:25" ht="15" x14ac:dyDescent="0.25">
      <c r="A47" s="487" t="s">
        <v>1643</v>
      </c>
      <c r="B47" s="419" t="s">
        <v>328</v>
      </c>
      <c r="C47" s="419"/>
      <c r="D47" s="139">
        <f>VLOOKUP(C47,'Seznam HS - nemaš'!$A$1:$B$96,2,FALSE)</f>
        <v>0</v>
      </c>
      <c r="E47" s="488">
        <v>211</v>
      </c>
      <c r="F47" s="489" t="s">
        <v>55</v>
      </c>
      <c r="G47" s="489"/>
      <c r="H47" s="28">
        <f>+IF(ISBLANK(I47),0,VLOOKUP(I47,'8Příloha_2_ceník_pravid_úklid'!$B$9:$C$30,2,0))</f>
        <v>6</v>
      </c>
      <c r="I47" s="420" t="s">
        <v>1</v>
      </c>
      <c r="J47" s="422">
        <v>42.87</v>
      </c>
      <c r="K47" s="420" t="s">
        <v>51</v>
      </c>
      <c r="L47" s="423" t="s">
        <v>22</v>
      </c>
      <c r="M47" s="424" t="s">
        <v>49</v>
      </c>
      <c r="N47" s="24">
        <f>IF((VLOOKUP(I47,'8Příloha_2_ceník_pravid_úklid'!$B$9:$I$30,8,0))=0,VLOOKUP(I47,'8Příloha_2_ceník_pravid_úklid'!$B$9:$K$30,10,0),VLOOKUP(I47,'8Příloha_2_ceník_pravid_úklid'!$B$9:$I$30,8,0))</f>
        <v>0</v>
      </c>
      <c r="O47" s="25">
        <v>2</v>
      </c>
      <c r="P47" s="25">
        <v>1</v>
      </c>
      <c r="Q47" s="25">
        <v>2</v>
      </c>
      <c r="R47" s="25">
        <v>1</v>
      </c>
      <c r="S47" s="26">
        <f>NETWORKDAYS.INTL(DATE(2018,1,1),DATE(2018,12,31),1,{"2018/1/1";"2018/3/30";"2018/4/2";"2018/5/1";"2018/5/8";"2018/7/5";"2018/7/6";"2018/09/28";"2018/11/17";"2018/12/24";"2018/12/25";"2018/12/26"})</f>
        <v>250</v>
      </c>
      <c r="T47" s="26">
        <f t="shared" si="0"/>
        <v>115</v>
      </c>
      <c r="U47" s="26">
        <f t="shared" si="1"/>
        <v>365</v>
      </c>
      <c r="V47" s="153">
        <f t="shared" si="2"/>
        <v>730</v>
      </c>
      <c r="W47" s="173">
        <f t="shared" si="3"/>
        <v>0</v>
      </c>
      <c r="X47" s="174">
        <f t="shared" si="4"/>
        <v>0</v>
      </c>
      <c r="Y47" s="141">
        <v>0</v>
      </c>
    </row>
    <row r="48" spans="1:25" ht="15" x14ac:dyDescent="0.25">
      <c r="A48" s="480" t="s">
        <v>1643</v>
      </c>
      <c r="B48" s="412" t="s">
        <v>328</v>
      </c>
      <c r="C48" s="412" t="s">
        <v>141</v>
      </c>
      <c r="D48" s="139" t="str">
        <f>VLOOKUP(C48,'Seznam HS - nemaš'!$A$1:$B$96,2,FALSE)</f>
        <v>402100</v>
      </c>
      <c r="E48" s="443">
        <v>212</v>
      </c>
      <c r="F48" s="481" t="s">
        <v>1238</v>
      </c>
      <c r="G48" s="481"/>
      <c r="H48" s="28">
        <f>+IF(ISBLANK(I48),0,VLOOKUP(I48,'8Příloha_2_ceník_pravid_úklid'!$B$9:$C$30,2,0))</f>
        <v>17</v>
      </c>
      <c r="I48" s="425" t="s">
        <v>13</v>
      </c>
      <c r="J48" s="427">
        <v>3.5</v>
      </c>
      <c r="K48" s="425" t="s">
        <v>50</v>
      </c>
      <c r="L48" s="463" t="s">
        <v>487</v>
      </c>
      <c r="M48" s="429" t="s">
        <v>49</v>
      </c>
      <c r="N48" s="19">
        <f>IF((VLOOKUP(I48,'8Příloha_2_ceník_pravid_úklid'!$B$9:$I$30,8,0))=0,VLOOKUP(I48,'8Příloha_2_ceník_pravid_úklid'!$B$9:$K$30,10,0),VLOOKUP(I48,'8Příloha_2_ceník_pravid_úklid'!$B$9:$I$30,8,0))</f>
        <v>0</v>
      </c>
      <c r="O48" s="20">
        <v>1</v>
      </c>
      <c r="P48" s="20">
        <f>1/5</f>
        <v>0.2</v>
      </c>
      <c r="Q48" s="20">
        <v>0</v>
      </c>
      <c r="R48" s="20">
        <v>0</v>
      </c>
      <c r="S48" s="21">
        <f>NETWORKDAYS.INTL(DATE(2018,1,1),DATE(2018,12,31),1,{"2018/1/1";"2018/3/30";"2018/4/2";"2018/5/1";"2018/5/8";"2018/7/5";"2018/7/6";"2018/09/28";"2018/11/17";"2018/12/24";"2018/12/25";"2018/12/26"})</f>
        <v>250</v>
      </c>
      <c r="T48" s="21">
        <f t="shared" si="0"/>
        <v>115</v>
      </c>
      <c r="U48" s="21">
        <f t="shared" si="1"/>
        <v>365</v>
      </c>
      <c r="V48" s="144">
        <f t="shared" si="2"/>
        <v>50</v>
      </c>
      <c r="W48" s="140">
        <f t="shared" si="3"/>
        <v>0</v>
      </c>
      <c r="X48" s="141">
        <f t="shared" si="4"/>
        <v>0</v>
      </c>
      <c r="Y48" s="141">
        <v>0</v>
      </c>
    </row>
    <row r="49" spans="1:25" ht="15" x14ac:dyDescent="0.25">
      <c r="A49" s="480" t="s">
        <v>1643</v>
      </c>
      <c r="B49" s="412" t="s">
        <v>328</v>
      </c>
      <c r="C49" s="412" t="s">
        <v>141</v>
      </c>
      <c r="D49" s="139" t="str">
        <f>VLOOKUP(C49,'Seznam HS - nemaš'!$A$1:$B$96,2,FALSE)</f>
        <v>402100</v>
      </c>
      <c r="E49" s="443">
        <v>213</v>
      </c>
      <c r="F49" s="481" t="s">
        <v>1644</v>
      </c>
      <c r="G49" s="481" t="s">
        <v>1274</v>
      </c>
      <c r="H49" s="28">
        <f>+IF(ISBLANK(I49),0,VLOOKUP(I49,'8Příloha_2_ceník_pravid_úklid'!$B$9:$C$30,2,0))</f>
        <v>1</v>
      </c>
      <c r="I49" s="425" t="s">
        <v>78</v>
      </c>
      <c r="J49" s="427">
        <v>17.059999999999999</v>
      </c>
      <c r="K49" s="425" t="s">
        <v>51</v>
      </c>
      <c r="L49" s="428" t="s">
        <v>537</v>
      </c>
      <c r="M49" s="429" t="s">
        <v>49</v>
      </c>
      <c r="N49" s="19">
        <f>IF((VLOOKUP(I49,'8Příloha_2_ceník_pravid_úklid'!$B$9:$I$30,8,0))=0,VLOOKUP(I49,'8Příloha_2_ceník_pravid_úklid'!$B$9:$K$30,10,0),VLOOKUP(I49,'8Příloha_2_ceník_pravid_úklid'!$B$9:$I$30,8,0))</f>
        <v>0</v>
      </c>
      <c r="O49" s="20">
        <v>1</v>
      </c>
      <c r="P49" s="20">
        <v>1</v>
      </c>
      <c r="Q49" s="20">
        <v>1</v>
      </c>
      <c r="R49" s="20">
        <v>1</v>
      </c>
      <c r="S49" s="21">
        <f>NETWORKDAYS.INTL(DATE(2018,1,1),DATE(2018,12,31),1,{"2018/1/1";"2018/3/30";"2018/4/2";"2018/5/1";"2018/5/8";"2018/7/5";"2018/7/6";"2018/09/28";"2018/11/17";"2018/12/24";"2018/12/25";"2018/12/26"})</f>
        <v>250</v>
      </c>
      <c r="T49" s="21">
        <f t="shared" si="0"/>
        <v>115</v>
      </c>
      <c r="U49" s="21">
        <f t="shared" si="1"/>
        <v>365</v>
      </c>
      <c r="V49" s="144">
        <f t="shared" si="2"/>
        <v>365</v>
      </c>
      <c r="W49" s="140">
        <f t="shared" si="3"/>
        <v>0</v>
      </c>
      <c r="X49" s="141">
        <f t="shared" si="4"/>
        <v>0</v>
      </c>
      <c r="Y49" s="141">
        <v>0</v>
      </c>
    </row>
    <row r="50" spans="1:25" ht="15" x14ac:dyDescent="0.25">
      <c r="A50" s="480" t="s">
        <v>1643</v>
      </c>
      <c r="B50" s="412" t="s">
        <v>328</v>
      </c>
      <c r="C50" s="412" t="s">
        <v>141</v>
      </c>
      <c r="D50" s="139" t="str">
        <f>VLOOKUP(C50,'Seznam HS - nemaš'!$A$1:$B$96,2,FALSE)</f>
        <v>402100</v>
      </c>
      <c r="E50" s="443">
        <v>214</v>
      </c>
      <c r="F50" s="481" t="s">
        <v>1644</v>
      </c>
      <c r="G50" s="481" t="s">
        <v>1274</v>
      </c>
      <c r="H50" s="28">
        <f>+IF(ISBLANK(I50),0,VLOOKUP(I50,'8Příloha_2_ceník_pravid_úklid'!$B$9:$C$30,2,0))</f>
        <v>1</v>
      </c>
      <c r="I50" s="425" t="s">
        <v>78</v>
      </c>
      <c r="J50" s="427">
        <v>17.670000000000002</v>
      </c>
      <c r="K50" s="425" t="s">
        <v>51</v>
      </c>
      <c r="L50" s="428" t="s">
        <v>537</v>
      </c>
      <c r="M50" s="429" t="s">
        <v>49</v>
      </c>
      <c r="N50" s="19">
        <f>IF((VLOOKUP(I50,'8Příloha_2_ceník_pravid_úklid'!$B$9:$I$30,8,0))=0,VLOOKUP(I50,'8Příloha_2_ceník_pravid_úklid'!$B$9:$K$30,10,0),VLOOKUP(I50,'8Příloha_2_ceník_pravid_úklid'!$B$9:$I$30,8,0))</f>
        <v>0</v>
      </c>
      <c r="O50" s="20">
        <v>1</v>
      </c>
      <c r="P50" s="20">
        <v>1</v>
      </c>
      <c r="Q50" s="20">
        <v>1</v>
      </c>
      <c r="R50" s="20">
        <v>1</v>
      </c>
      <c r="S50" s="21">
        <f>NETWORKDAYS.INTL(DATE(2018,1,1),DATE(2018,12,31),1,{"2018/1/1";"2018/3/30";"2018/4/2";"2018/5/1";"2018/5/8";"2018/7/5";"2018/7/6";"2018/09/28";"2018/11/17";"2018/12/24";"2018/12/25";"2018/12/26"})</f>
        <v>250</v>
      </c>
      <c r="T50" s="21">
        <f t="shared" si="0"/>
        <v>115</v>
      </c>
      <c r="U50" s="21">
        <f t="shared" si="1"/>
        <v>365</v>
      </c>
      <c r="V50" s="144">
        <f t="shared" si="2"/>
        <v>365</v>
      </c>
      <c r="W50" s="140">
        <f t="shared" si="3"/>
        <v>0</v>
      </c>
      <c r="X50" s="141">
        <f t="shared" si="4"/>
        <v>0</v>
      </c>
      <c r="Y50" s="141">
        <v>0</v>
      </c>
    </row>
    <row r="51" spans="1:25" ht="15" x14ac:dyDescent="0.25">
      <c r="A51" s="480" t="s">
        <v>1643</v>
      </c>
      <c r="B51" s="412" t="s">
        <v>328</v>
      </c>
      <c r="C51" s="412" t="s">
        <v>141</v>
      </c>
      <c r="D51" s="139" t="str">
        <f>VLOOKUP(C51,'Seznam HS - nemaš'!$A$1:$B$96,2,FALSE)</f>
        <v>402100</v>
      </c>
      <c r="E51" s="443">
        <v>215</v>
      </c>
      <c r="F51" s="481" t="s">
        <v>1645</v>
      </c>
      <c r="G51" s="481"/>
      <c r="H51" s="28">
        <f>+IF(ISBLANK(I51),0,VLOOKUP(I51,'8Příloha_2_ceník_pravid_úklid'!$B$9:$C$30,2,0))</f>
        <v>7</v>
      </c>
      <c r="I51" s="425" t="s">
        <v>14</v>
      </c>
      <c r="J51" s="427">
        <v>3.67</v>
      </c>
      <c r="K51" s="425" t="s">
        <v>50</v>
      </c>
      <c r="L51" s="428" t="s">
        <v>537</v>
      </c>
      <c r="M51" s="429" t="s">
        <v>49</v>
      </c>
      <c r="N51" s="19">
        <f>IF((VLOOKUP(I51,'8Příloha_2_ceník_pravid_úklid'!$B$9:$I$30,8,0))=0,VLOOKUP(I51,'8Příloha_2_ceník_pravid_úklid'!$B$9:$K$30,10,0),VLOOKUP(I51,'8Příloha_2_ceník_pravid_úklid'!$B$9:$I$30,8,0))</f>
        <v>0</v>
      </c>
      <c r="O51" s="20">
        <v>1</v>
      </c>
      <c r="P51" s="20">
        <v>1</v>
      </c>
      <c r="Q51" s="20">
        <v>1</v>
      </c>
      <c r="R51" s="20">
        <v>1</v>
      </c>
      <c r="S51" s="21">
        <f>NETWORKDAYS.INTL(DATE(2018,1,1),DATE(2018,12,31),1,{"2018/1/1";"2018/3/30";"2018/4/2";"2018/5/1";"2018/5/8";"2018/7/5";"2018/7/6";"2018/09/28";"2018/11/17";"2018/12/24";"2018/12/25";"2018/12/26"})</f>
        <v>250</v>
      </c>
      <c r="T51" s="21">
        <f t="shared" si="0"/>
        <v>115</v>
      </c>
      <c r="U51" s="21">
        <f t="shared" si="1"/>
        <v>365</v>
      </c>
      <c r="V51" s="144">
        <f t="shared" si="2"/>
        <v>365</v>
      </c>
      <c r="W51" s="140">
        <f t="shared" si="3"/>
        <v>0</v>
      </c>
      <c r="X51" s="141">
        <f t="shared" si="4"/>
        <v>0</v>
      </c>
      <c r="Y51" s="141">
        <v>0</v>
      </c>
    </row>
    <row r="52" spans="1:25" ht="15" x14ac:dyDescent="0.25">
      <c r="A52" s="480" t="s">
        <v>1643</v>
      </c>
      <c r="B52" s="412" t="s">
        <v>328</v>
      </c>
      <c r="C52" s="412" t="s">
        <v>141</v>
      </c>
      <c r="D52" s="139" t="str">
        <f>VLOOKUP(C52,'Seznam HS - nemaš'!$A$1:$B$96,2,FALSE)</f>
        <v>402100</v>
      </c>
      <c r="E52" s="443">
        <v>216</v>
      </c>
      <c r="F52" s="481" t="s">
        <v>1645</v>
      </c>
      <c r="G52" s="481"/>
      <c r="H52" s="28">
        <f>+IF(ISBLANK(I52),0,VLOOKUP(I52,'8Příloha_2_ceník_pravid_úklid'!$B$9:$C$30,2,0))</f>
        <v>7</v>
      </c>
      <c r="I52" s="425" t="s">
        <v>14</v>
      </c>
      <c r="J52" s="427">
        <v>3.67</v>
      </c>
      <c r="K52" s="425" t="s">
        <v>50</v>
      </c>
      <c r="L52" s="428" t="s">
        <v>537</v>
      </c>
      <c r="M52" s="429" t="s">
        <v>49</v>
      </c>
      <c r="N52" s="19">
        <f>IF((VLOOKUP(I52,'8Příloha_2_ceník_pravid_úklid'!$B$9:$I$30,8,0))=0,VLOOKUP(I52,'8Příloha_2_ceník_pravid_úklid'!$B$9:$K$30,10,0),VLOOKUP(I52,'8Příloha_2_ceník_pravid_úklid'!$B$9:$I$30,8,0))</f>
        <v>0</v>
      </c>
      <c r="O52" s="20">
        <v>1</v>
      </c>
      <c r="P52" s="20">
        <v>1</v>
      </c>
      <c r="Q52" s="20">
        <v>1</v>
      </c>
      <c r="R52" s="20">
        <v>1</v>
      </c>
      <c r="S52" s="21">
        <f>NETWORKDAYS.INTL(DATE(2018,1,1),DATE(2018,12,31),1,{"2018/1/1";"2018/3/30";"2018/4/2";"2018/5/1";"2018/5/8";"2018/7/5";"2018/7/6";"2018/09/28";"2018/11/17";"2018/12/24";"2018/12/25";"2018/12/26"})</f>
        <v>250</v>
      </c>
      <c r="T52" s="21">
        <f t="shared" si="0"/>
        <v>115</v>
      </c>
      <c r="U52" s="21">
        <f t="shared" si="1"/>
        <v>365</v>
      </c>
      <c r="V52" s="144">
        <f t="shared" si="2"/>
        <v>365</v>
      </c>
      <c r="W52" s="140">
        <f t="shared" si="3"/>
        <v>0</v>
      </c>
      <c r="X52" s="141">
        <f t="shared" si="4"/>
        <v>0</v>
      </c>
      <c r="Y52" s="141">
        <v>0</v>
      </c>
    </row>
    <row r="53" spans="1:25" ht="15" x14ac:dyDescent="0.25">
      <c r="A53" s="480" t="s">
        <v>1643</v>
      </c>
      <c r="B53" s="412" t="s">
        <v>328</v>
      </c>
      <c r="C53" s="412" t="s">
        <v>141</v>
      </c>
      <c r="D53" s="139" t="str">
        <f>VLOOKUP(C53,'Seznam HS - nemaš'!$A$1:$B$96,2,FALSE)</f>
        <v>402100</v>
      </c>
      <c r="E53" s="443">
        <v>217</v>
      </c>
      <c r="F53" s="481" t="s">
        <v>1644</v>
      </c>
      <c r="G53" s="481" t="s">
        <v>1274</v>
      </c>
      <c r="H53" s="28">
        <f>+IF(ISBLANK(I53),0,VLOOKUP(I53,'8Příloha_2_ceník_pravid_úklid'!$B$9:$C$30,2,0))</f>
        <v>1</v>
      </c>
      <c r="I53" s="425" t="s">
        <v>78</v>
      </c>
      <c r="J53" s="427">
        <v>17.670000000000002</v>
      </c>
      <c r="K53" s="425" t="s">
        <v>51</v>
      </c>
      <c r="L53" s="428" t="s">
        <v>537</v>
      </c>
      <c r="M53" s="429" t="s">
        <v>49</v>
      </c>
      <c r="N53" s="19">
        <f>IF((VLOOKUP(I53,'8Příloha_2_ceník_pravid_úklid'!$B$9:$I$30,8,0))=0,VLOOKUP(I53,'8Příloha_2_ceník_pravid_úklid'!$B$9:$K$30,10,0),VLOOKUP(I53,'8Příloha_2_ceník_pravid_úklid'!$B$9:$I$30,8,0))</f>
        <v>0</v>
      </c>
      <c r="O53" s="20">
        <v>1</v>
      </c>
      <c r="P53" s="20">
        <v>1</v>
      </c>
      <c r="Q53" s="20">
        <v>1</v>
      </c>
      <c r="R53" s="20">
        <v>1</v>
      </c>
      <c r="S53" s="21">
        <f>NETWORKDAYS.INTL(DATE(2018,1,1),DATE(2018,12,31),1,{"2018/1/1";"2018/3/30";"2018/4/2";"2018/5/1";"2018/5/8";"2018/7/5";"2018/7/6";"2018/09/28";"2018/11/17";"2018/12/24";"2018/12/25";"2018/12/26"})</f>
        <v>250</v>
      </c>
      <c r="T53" s="21">
        <f t="shared" si="0"/>
        <v>115</v>
      </c>
      <c r="U53" s="21">
        <f t="shared" si="1"/>
        <v>365</v>
      </c>
      <c r="V53" s="144">
        <f t="shared" si="2"/>
        <v>365</v>
      </c>
      <c r="W53" s="140">
        <f t="shared" si="3"/>
        <v>0</v>
      </c>
      <c r="X53" s="141">
        <f t="shared" si="4"/>
        <v>0</v>
      </c>
      <c r="Y53" s="141">
        <v>0</v>
      </c>
    </row>
    <row r="54" spans="1:25" ht="15" x14ac:dyDescent="0.25">
      <c r="A54" s="480" t="s">
        <v>1643</v>
      </c>
      <c r="B54" s="412" t="s">
        <v>328</v>
      </c>
      <c r="C54" s="412" t="s">
        <v>141</v>
      </c>
      <c r="D54" s="139" t="str">
        <f>VLOOKUP(C54,'Seznam HS - nemaš'!$A$1:$B$96,2,FALSE)</f>
        <v>402100</v>
      </c>
      <c r="E54" s="443">
        <v>218</v>
      </c>
      <c r="F54" s="481" t="s">
        <v>1644</v>
      </c>
      <c r="G54" s="481" t="s">
        <v>1274</v>
      </c>
      <c r="H54" s="28">
        <f>+IF(ISBLANK(I54),0,VLOOKUP(I54,'8Příloha_2_ceník_pravid_úklid'!$B$9:$C$30,2,0))</f>
        <v>1</v>
      </c>
      <c r="I54" s="425" t="s">
        <v>78</v>
      </c>
      <c r="J54" s="427">
        <v>17.670000000000002</v>
      </c>
      <c r="K54" s="425" t="s">
        <v>51</v>
      </c>
      <c r="L54" s="428" t="s">
        <v>537</v>
      </c>
      <c r="M54" s="429" t="s">
        <v>49</v>
      </c>
      <c r="N54" s="19">
        <f>IF((VLOOKUP(I54,'8Příloha_2_ceník_pravid_úklid'!$B$9:$I$30,8,0))=0,VLOOKUP(I54,'8Příloha_2_ceník_pravid_úklid'!$B$9:$K$30,10,0),VLOOKUP(I54,'8Příloha_2_ceník_pravid_úklid'!$B$9:$I$30,8,0))</f>
        <v>0</v>
      </c>
      <c r="O54" s="20">
        <v>1</v>
      </c>
      <c r="P54" s="20">
        <v>1</v>
      </c>
      <c r="Q54" s="20">
        <v>1</v>
      </c>
      <c r="R54" s="20">
        <v>1</v>
      </c>
      <c r="S54" s="21">
        <f>NETWORKDAYS.INTL(DATE(2018,1,1),DATE(2018,12,31),1,{"2018/1/1";"2018/3/30";"2018/4/2";"2018/5/1";"2018/5/8";"2018/7/5";"2018/7/6";"2018/09/28";"2018/11/17";"2018/12/24";"2018/12/25";"2018/12/26"})</f>
        <v>250</v>
      </c>
      <c r="T54" s="21">
        <f t="shared" si="0"/>
        <v>115</v>
      </c>
      <c r="U54" s="21">
        <f t="shared" si="1"/>
        <v>365</v>
      </c>
      <c r="V54" s="144">
        <f t="shared" si="2"/>
        <v>365</v>
      </c>
      <c r="W54" s="140">
        <f t="shared" si="3"/>
        <v>0</v>
      </c>
      <c r="X54" s="141">
        <f t="shared" si="4"/>
        <v>0</v>
      </c>
      <c r="Y54" s="141">
        <v>0</v>
      </c>
    </row>
    <row r="55" spans="1:25" ht="15" x14ac:dyDescent="0.25">
      <c r="A55" s="480" t="s">
        <v>1643</v>
      </c>
      <c r="B55" s="412" t="s">
        <v>328</v>
      </c>
      <c r="C55" s="412" t="s">
        <v>141</v>
      </c>
      <c r="D55" s="139" t="str">
        <f>VLOOKUP(C55,'Seznam HS - nemaš'!$A$1:$B$96,2,FALSE)</f>
        <v>402100</v>
      </c>
      <c r="E55" s="443">
        <v>219</v>
      </c>
      <c r="F55" s="481" t="s">
        <v>1238</v>
      </c>
      <c r="G55" s="481"/>
      <c r="H55" s="28">
        <f>+IF(ISBLANK(I55),0,VLOOKUP(I55,'8Příloha_2_ceník_pravid_úklid'!$B$9:$C$30,2,0))</f>
        <v>17</v>
      </c>
      <c r="I55" s="425" t="s">
        <v>13</v>
      </c>
      <c r="J55" s="427">
        <v>3.67</v>
      </c>
      <c r="K55" s="425" t="s">
        <v>51</v>
      </c>
      <c r="L55" s="463" t="s">
        <v>487</v>
      </c>
      <c r="M55" s="429" t="s">
        <v>49</v>
      </c>
      <c r="N55" s="19">
        <f>IF((VLOOKUP(I55,'8Příloha_2_ceník_pravid_úklid'!$B$9:$I$30,8,0))=0,VLOOKUP(I55,'8Příloha_2_ceník_pravid_úklid'!$B$9:$K$30,10,0),VLOOKUP(I55,'8Příloha_2_ceník_pravid_úklid'!$B$9:$I$30,8,0))</f>
        <v>0</v>
      </c>
      <c r="O55" s="20">
        <v>1</v>
      </c>
      <c r="P55" s="20">
        <f>1/5</f>
        <v>0.2</v>
      </c>
      <c r="Q55" s="20">
        <v>0</v>
      </c>
      <c r="R55" s="20">
        <v>0</v>
      </c>
      <c r="S55" s="21">
        <f>NETWORKDAYS.INTL(DATE(2018,1,1),DATE(2018,12,31),1,{"2018/1/1";"2018/3/30";"2018/4/2";"2018/5/1";"2018/5/8";"2018/7/5";"2018/7/6";"2018/09/28";"2018/11/17";"2018/12/24";"2018/12/25";"2018/12/26"})</f>
        <v>250</v>
      </c>
      <c r="T55" s="21">
        <f t="shared" si="0"/>
        <v>115</v>
      </c>
      <c r="U55" s="21">
        <f t="shared" si="1"/>
        <v>365</v>
      </c>
      <c r="V55" s="144">
        <f t="shared" si="2"/>
        <v>50</v>
      </c>
      <c r="W55" s="140">
        <f t="shared" si="3"/>
        <v>0</v>
      </c>
      <c r="X55" s="141">
        <f t="shared" si="4"/>
        <v>0</v>
      </c>
      <c r="Y55" s="141">
        <v>0</v>
      </c>
    </row>
    <row r="56" spans="1:25" ht="15" x14ac:dyDescent="0.25">
      <c r="A56" s="480" t="s">
        <v>1643</v>
      </c>
      <c r="B56" s="412" t="s">
        <v>328</v>
      </c>
      <c r="C56" s="412" t="s">
        <v>141</v>
      </c>
      <c r="D56" s="139" t="str">
        <f>VLOOKUP(C56,'Seznam HS - nemaš'!$A$1:$B$96,2,FALSE)</f>
        <v>402100</v>
      </c>
      <c r="E56" s="443">
        <v>220</v>
      </c>
      <c r="F56" s="481" t="s">
        <v>70</v>
      </c>
      <c r="G56" s="481" t="s">
        <v>1646</v>
      </c>
      <c r="H56" s="28">
        <f>+IF(ISBLANK(I56),0,VLOOKUP(I56,'8Příloha_2_ceník_pravid_úklid'!$B$9:$C$30,2,0))</f>
        <v>4</v>
      </c>
      <c r="I56" s="425" t="s">
        <v>9</v>
      </c>
      <c r="J56" s="427">
        <v>57.8</v>
      </c>
      <c r="K56" s="425" t="s">
        <v>51</v>
      </c>
      <c r="L56" s="428" t="s">
        <v>22</v>
      </c>
      <c r="M56" s="429" t="s">
        <v>49</v>
      </c>
      <c r="N56" s="19">
        <f>IF((VLOOKUP(I56,'8Příloha_2_ceník_pravid_úklid'!$B$9:$I$30,8,0))=0,VLOOKUP(I56,'8Příloha_2_ceník_pravid_úklid'!$B$9:$K$30,10,0),VLOOKUP(I56,'8Příloha_2_ceník_pravid_úklid'!$B$9:$I$30,8,0))</f>
        <v>0</v>
      </c>
      <c r="O56" s="20">
        <v>2</v>
      </c>
      <c r="P56" s="20">
        <v>1</v>
      </c>
      <c r="Q56" s="20">
        <v>2</v>
      </c>
      <c r="R56" s="20">
        <v>1</v>
      </c>
      <c r="S56" s="21">
        <f>NETWORKDAYS.INTL(DATE(2018,1,1),DATE(2018,12,31),1,{"2018/1/1";"2018/3/30";"2018/4/2";"2018/5/1";"2018/5/8";"2018/7/5";"2018/7/6";"2018/09/28";"2018/11/17";"2018/12/24";"2018/12/25";"2018/12/26"})</f>
        <v>250</v>
      </c>
      <c r="T56" s="21">
        <f t="shared" si="0"/>
        <v>115</v>
      </c>
      <c r="U56" s="21">
        <f t="shared" si="1"/>
        <v>365</v>
      </c>
      <c r="V56" s="144">
        <f t="shared" si="2"/>
        <v>730</v>
      </c>
      <c r="W56" s="140">
        <f t="shared" si="3"/>
        <v>0</v>
      </c>
      <c r="X56" s="141">
        <f t="shared" si="4"/>
        <v>0</v>
      </c>
      <c r="Y56" s="141">
        <v>0</v>
      </c>
    </row>
    <row r="57" spans="1:25" ht="15" x14ac:dyDescent="0.25">
      <c r="A57" s="480" t="s">
        <v>1643</v>
      </c>
      <c r="B57" s="412" t="s">
        <v>328</v>
      </c>
      <c r="C57" s="412" t="s">
        <v>141</v>
      </c>
      <c r="D57" s="139" t="str">
        <f>VLOOKUP(C57,'Seznam HS - nemaš'!$A$1:$B$96,2,FALSE)</f>
        <v>402100</v>
      </c>
      <c r="E57" s="443">
        <v>221</v>
      </c>
      <c r="F57" s="481" t="s">
        <v>1644</v>
      </c>
      <c r="G57" s="481" t="s">
        <v>1647</v>
      </c>
      <c r="H57" s="28">
        <f>+IF(ISBLANK(I57),0,VLOOKUP(I57,'8Příloha_2_ceník_pravid_úklid'!$B$9:$C$30,2,0))</f>
        <v>1</v>
      </c>
      <c r="I57" s="425" t="s">
        <v>78</v>
      </c>
      <c r="J57" s="427">
        <v>24.47</v>
      </c>
      <c r="K57" s="425" t="s">
        <v>51</v>
      </c>
      <c r="L57" s="428" t="s">
        <v>537</v>
      </c>
      <c r="M57" s="429" t="s">
        <v>49</v>
      </c>
      <c r="N57" s="19">
        <f>IF((VLOOKUP(I57,'8Příloha_2_ceník_pravid_úklid'!$B$9:$I$30,8,0))=0,VLOOKUP(I57,'8Příloha_2_ceník_pravid_úklid'!$B$9:$K$30,10,0),VLOOKUP(I57,'8Příloha_2_ceník_pravid_úklid'!$B$9:$I$30,8,0))</f>
        <v>0</v>
      </c>
      <c r="O57" s="20">
        <v>1</v>
      </c>
      <c r="P57" s="20">
        <v>1</v>
      </c>
      <c r="Q57" s="20">
        <v>1</v>
      </c>
      <c r="R57" s="20">
        <v>1</v>
      </c>
      <c r="S57" s="21">
        <f>NETWORKDAYS.INTL(DATE(2018,1,1),DATE(2018,12,31),1,{"2018/1/1";"2018/3/30";"2018/4/2";"2018/5/1";"2018/5/8";"2018/7/5";"2018/7/6";"2018/09/28";"2018/11/17";"2018/12/24";"2018/12/25";"2018/12/26"})</f>
        <v>250</v>
      </c>
      <c r="T57" s="21">
        <f t="shared" si="0"/>
        <v>115</v>
      </c>
      <c r="U57" s="21">
        <f t="shared" si="1"/>
        <v>365</v>
      </c>
      <c r="V57" s="144">
        <f t="shared" si="2"/>
        <v>365</v>
      </c>
      <c r="W57" s="140">
        <f t="shared" si="3"/>
        <v>0</v>
      </c>
      <c r="X57" s="141">
        <f t="shared" si="4"/>
        <v>0</v>
      </c>
      <c r="Y57" s="141">
        <v>0</v>
      </c>
    </row>
    <row r="58" spans="1:25" ht="15" x14ac:dyDescent="0.25">
      <c r="A58" s="480" t="s">
        <v>1643</v>
      </c>
      <c r="B58" s="412" t="s">
        <v>328</v>
      </c>
      <c r="C58" s="412" t="s">
        <v>141</v>
      </c>
      <c r="D58" s="139" t="str">
        <f>VLOOKUP(C58,'Seznam HS - nemaš'!$A$1:$B$96,2,FALSE)</f>
        <v>402100</v>
      </c>
      <c r="E58" s="443">
        <v>222</v>
      </c>
      <c r="F58" s="481" t="s">
        <v>1644</v>
      </c>
      <c r="G58" s="481" t="s">
        <v>1274</v>
      </c>
      <c r="H58" s="28">
        <f>+IF(ISBLANK(I58),0,VLOOKUP(I58,'8Příloha_2_ceník_pravid_úklid'!$B$9:$C$30,2,0))</f>
        <v>1</v>
      </c>
      <c r="I58" s="425" t="s">
        <v>78</v>
      </c>
      <c r="J58" s="427">
        <v>17.670000000000002</v>
      </c>
      <c r="K58" s="425" t="s">
        <v>51</v>
      </c>
      <c r="L58" s="428" t="s">
        <v>537</v>
      </c>
      <c r="M58" s="429" t="s">
        <v>49</v>
      </c>
      <c r="N58" s="19">
        <f>IF((VLOOKUP(I58,'8Příloha_2_ceník_pravid_úklid'!$B$9:$I$30,8,0))=0,VLOOKUP(I58,'8Příloha_2_ceník_pravid_úklid'!$B$9:$K$30,10,0),VLOOKUP(I58,'8Příloha_2_ceník_pravid_úklid'!$B$9:$I$30,8,0))</f>
        <v>0</v>
      </c>
      <c r="O58" s="20">
        <v>1</v>
      </c>
      <c r="P58" s="20">
        <v>1</v>
      </c>
      <c r="Q58" s="20">
        <v>1</v>
      </c>
      <c r="R58" s="20">
        <v>1</v>
      </c>
      <c r="S58" s="21">
        <f>NETWORKDAYS.INTL(DATE(2018,1,1),DATE(2018,12,31),1,{"2018/1/1";"2018/3/30";"2018/4/2";"2018/5/1";"2018/5/8";"2018/7/5";"2018/7/6";"2018/09/28";"2018/11/17";"2018/12/24";"2018/12/25";"2018/12/26"})</f>
        <v>250</v>
      </c>
      <c r="T58" s="21">
        <f t="shared" si="0"/>
        <v>115</v>
      </c>
      <c r="U58" s="21">
        <f t="shared" si="1"/>
        <v>365</v>
      </c>
      <c r="V58" s="144">
        <f t="shared" si="2"/>
        <v>365</v>
      </c>
      <c r="W58" s="140">
        <f t="shared" si="3"/>
        <v>0</v>
      </c>
      <c r="X58" s="141">
        <f t="shared" si="4"/>
        <v>0</v>
      </c>
      <c r="Y58" s="141">
        <v>0</v>
      </c>
    </row>
    <row r="59" spans="1:25" ht="15" x14ac:dyDescent="0.25">
      <c r="A59" s="480" t="s">
        <v>1643</v>
      </c>
      <c r="B59" s="412" t="s">
        <v>328</v>
      </c>
      <c r="C59" s="412" t="s">
        <v>141</v>
      </c>
      <c r="D59" s="139" t="str">
        <f>VLOOKUP(C59,'Seznam HS - nemaš'!$A$1:$B$96,2,FALSE)</f>
        <v>402100</v>
      </c>
      <c r="E59" s="443">
        <v>223</v>
      </c>
      <c r="F59" s="481" t="s">
        <v>1645</v>
      </c>
      <c r="G59" s="481"/>
      <c r="H59" s="28">
        <f>+IF(ISBLANK(I59),0,VLOOKUP(I59,'8Příloha_2_ceník_pravid_úklid'!$B$9:$C$30,2,0))</f>
        <v>7</v>
      </c>
      <c r="I59" s="425" t="s">
        <v>14</v>
      </c>
      <c r="J59" s="427">
        <v>3.67</v>
      </c>
      <c r="K59" s="425" t="s">
        <v>50</v>
      </c>
      <c r="L59" s="428" t="s">
        <v>537</v>
      </c>
      <c r="M59" s="429" t="s">
        <v>49</v>
      </c>
      <c r="N59" s="19">
        <f>IF((VLOOKUP(I59,'8Příloha_2_ceník_pravid_úklid'!$B$9:$I$30,8,0))=0,VLOOKUP(I59,'8Příloha_2_ceník_pravid_úklid'!$B$9:$K$30,10,0),VLOOKUP(I59,'8Příloha_2_ceník_pravid_úklid'!$B$9:$I$30,8,0))</f>
        <v>0</v>
      </c>
      <c r="O59" s="20">
        <v>1</v>
      </c>
      <c r="P59" s="20">
        <v>1</v>
      </c>
      <c r="Q59" s="20">
        <v>1</v>
      </c>
      <c r="R59" s="20">
        <v>1</v>
      </c>
      <c r="S59" s="21">
        <f>NETWORKDAYS.INTL(DATE(2018,1,1),DATE(2018,12,31),1,{"2018/1/1";"2018/3/30";"2018/4/2";"2018/5/1";"2018/5/8";"2018/7/5";"2018/7/6";"2018/09/28";"2018/11/17";"2018/12/24";"2018/12/25";"2018/12/26"})</f>
        <v>250</v>
      </c>
      <c r="T59" s="21">
        <f t="shared" si="0"/>
        <v>115</v>
      </c>
      <c r="U59" s="21">
        <f t="shared" si="1"/>
        <v>365</v>
      </c>
      <c r="V59" s="144">
        <f t="shared" si="2"/>
        <v>365</v>
      </c>
      <c r="W59" s="140">
        <f t="shared" si="3"/>
        <v>0</v>
      </c>
      <c r="X59" s="141">
        <f t="shared" si="4"/>
        <v>0</v>
      </c>
      <c r="Y59" s="141">
        <v>0</v>
      </c>
    </row>
    <row r="60" spans="1:25" ht="15" x14ac:dyDescent="0.25">
      <c r="A60" s="480" t="s">
        <v>1643</v>
      </c>
      <c r="B60" s="412" t="s">
        <v>328</v>
      </c>
      <c r="C60" s="412" t="s">
        <v>141</v>
      </c>
      <c r="D60" s="139" t="str">
        <f>VLOOKUP(C60,'Seznam HS - nemaš'!$A$1:$B$96,2,FALSE)</f>
        <v>402100</v>
      </c>
      <c r="E60" s="443">
        <v>224</v>
      </c>
      <c r="F60" s="481" t="s">
        <v>1238</v>
      </c>
      <c r="G60" s="481"/>
      <c r="H60" s="28">
        <f>+IF(ISBLANK(I60),0,VLOOKUP(I60,'8Příloha_2_ceník_pravid_úklid'!$B$9:$C$30,2,0))</f>
        <v>17</v>
      </c>
      <c r="I60" s="425" t="s">
        <v>13</v>
      </c>
      <c r="J60" s="427">
        <v>1.58</v>
      </c>
      <c r="K60" s="425" t="s">
        <v>51</v>
      </c>
      <c r="L60" s="463" t="s">
        <v>487</v>
      </c>
      <c r="M60" s="429" t="s">
        <v>49</v>
      </c>
      <c r="N60" s="19">
        <f>IF((VLOOKUP(I60,'8Příloha_2_ceník_pravid_úklid'!$B$9:$I$30,8,0))=0,VLOOKUP(I60,'8Příloha_2_ceník_pravid_úklid'!$B$9:$K$30,10,0),VLOOKUP(I60,'8Příloha_2_ceník_pravid_úklid'!$B$9:$I$30,8,0))</f>
        <v>0</v>
      </c>
      <c r="O60" s="20">
        <v>1</v>
      </c>
      <c r="P60" s="20">
        <f>1/5</f>
        <v>0.2</v>
      </c>
      <c r="Q60" s="20">
        <v>0</v>
      </c>
      <c r="R60" s="20">
        <v>0</v>
      </c>
      <c r="S60" s="21">
        <f>NETWORKDAYS.INTL(DATE(2018,1,1),DATE(2018,12,31),1,{"2018/1/1";"2018/3/30";"2018/4/2";"2018/5/1";"2018/5/8";"2018/7/5";"2018/7/6";"2018/09/28";"2018/11/17";"2018/12/24";"2018/12/25";"2018/12/26"})</f>
        <v>250</v>
      </c>
      <c r="T60" s="21">
        <f t="shared" si="0"/>
        <v>115</v>
      </c>
      <c r="U60" s="21">
        <f t="shared" si="1"/>
        <v>365</v>
      </c>
      <c r="V60" s="144">
        <f t="shared" si="2"/>
        <v>50</v>
      </c>
      <c r="W60" s="140">
        <f t="shared" si="3"/>
        <v>0</v>
      </c>
      <c r="X60" s="141">
        <f t="shared" si="4"/>
        <v>0</v>
      </c>
      <c r="Y60" s="141">
        <v>0</v>
      </c>
    </row>
    <row r="61" spans="1:25" ht="15" x14ac:dyDescent="0.25">
      <c r="A61" s="480" t="s">
        <v>1643</v>
      </c>
      <c r="B61" s="412" t="s">
        <v>328</v>
      </c>
      <c r="C61" s="412" t="s">
        <v>141</v>
      </c>
      <c r="D61" s="139" t="str">
        <f>VLOOKUP(C61,'Seznam HS - nemaš'!$A$1:$B$96,2,FALSE)</f>
        <v>402100</v>
      </c>
      <c r="E61" s="443">
        <v>225</v>
      </c>
      <c r="F61" s="481" t="s">
        <v>1644</v>
      </c>
      <c r="G61" s="481" t="s">
        <v>1274</v>
      </c>
      <c r="H61" s="28">
        <f>+IF(ISBLANK(I61),0,VLOOKUP(I61,'8Příloha_2_ceník_pravid_úklid'!$B$9:$C$30,2,0))</f>
        <v>1</v>
      </c>
      <c r="I61" s="425" t="s">
        <v>78</v>
      </c>
      <c r="J61" s="427">
        <v>17.670000000000002</v>
      </c>
      <c r="K61" s="425" t="s">
        <v>51</v>
      </c>
      <c r="L61" s="428" t="s">
        <v>537</v>
      </c>
      <c r="M61" s="429" t="s">
        <v>49</v>
      </c>
      <c r="N61" s="19">
        <f>IF((VLOOKUP(I61,'8Příloha_2_ceník_pravid_úklid'!$B$9:$I$30,8,0))=0,VLOOKUP(I61,'8Příloha_2_ceník_pravid_úklid'!$B$9:$K$30,10,0),VLOOKUP(I61,'8Příloha_2_ceník_pravid_úklid'!$B$9:$I$30,8,0))</f>
        <v>0</v>
      </c>
      <c r="O61" s="20">
        <v>1</v>
      </c>
      <c r="P61" s="20">
        <v>1</v>
      </c>
      <c r="Q61" s="20">
        <v>1</v>
      </c>
      <c r="R61" s="20">
        <v>1</v>
      </c>
      <c r="S61" s="21">
        <f>NETWORKDAYS.INTL(DATE(2018,1,1),DATE(2018,12,31),1,{"2018/1/1";"2018/3/30";"2018/4/2";"2018/5/1";"2018/5/8";"2018/7/5";"2018/7/6";"2018/09/28";"2018/11/17";"2018/12/24";"2018/12/25";"2018/12/26"})</f>
        <v>250</v>
      </c>
      <c r="T61" s="21">
        <f t="shared" si="0"/>
        <v>115</v>
      </c>
      <c r="U61" s="21">
        <f t="shared" si="1"/>
        <v>365</v>
      </c>
      <c r="V61" s="144">
        <f t="shared" si="2"/>
        <v>365</v>
      </c>
      <c r="W61" s="140">
        <f t="shared" si="3"/>
        <v>0</v>
      </c>
      <c r="X61" s="141">
        <f t="shared" si="4"/>
        <v>0</v>
      </c>
      <c r="Y61" s="141">
        <v>0</v>
      </c>
    </row>
    <row r="62" spans="1:25" ht="15" x14ac:dyDescent="0.25">
      <c r="A62" s="480" t="s">
        <v>1643</v>
      </c>
      <c r="B62" s="412" t="s">
        <v>328</v>
      </c>
      <c r="C62" s="412" t="s">
        <v>141</v>
      </c>
      <c r="D62" s="139" t="str">
        <f>VLOOKUP(C62,'Seznam HS - nemaš'!$A$1:$B$96,2,FALSE)</f>
        <v>402100</v>
      </c>
      <c r="E62" s="443">
        <v>226</v>
      </c>
      <c r="F62" s="481" t="s">
        <v>1644</v>
      </c>
      <c r="G62" s="481" t="s">
        <v>1274</v>
      </c>
      <c r="H62" s="28">
        <f>+IF(ISBLANK(I62),0,VLOOKUP(I62,'8Příloha_2_ceník_pravid_úklid'!$B$9:$C$30,2,0))</f>
        <v>1</v>
      </c>
      <c r="I62" s="425" t="s">
        <v>78</v>
      </c>
      <c r="J62" s="427">
        <v>17.670000000000002</v>
      </c>
      <c r="K62" s="425" t="s">
        <v>51</v>
      </c>
      <c r="L62" s="428" t="s">
        <v>537</v>
      </c>
      <c r="M62" s="429" t="s">
        <v>49</v>
      </c>
      <c r="N62" s="19">
        <f>IF((VLOOKUP(I62,'8Příloha_2_ceník_pravid_úklid'!$B$9:$I$30,8,0))=0,VLOOKUP(I62,'8Příloha_2_ceník_pravid_úklid'!$B$9:$K$30,10,0),VLOOKUP(I62,'8Příloha_2_ceník_pravid_úklid'!$B$9:$I$30,8,0))</f>
        <v>0</v>
      </c>
      <c r="O62" s="20">
        <v>1</v>
      </c>
      <c r="P62" s="20">
        <v>1</v>
      </c>
      <c r="Q62" s="20">
        <v>1</v>
      </c>
      <c r="R62" s="20">
        <v>1</v>
      </c>
      <c r="S62" s="21">
        <f>NETWORKDAYS.INTL(DATE(2018,1,1),DATE(2018,12,31),1,{"2018/1/1";"2018/3/30";"2018/4/2";"2018/5/1";"2018/5/8";"2018/7/5";"2018/7/6";"2018/09/28";"2018/11/17";"2018/12/24";"2018/12/25";"2018/12/26"})</f>
        <v>250</v>
      </c>
      <c r="T62" s="21">
        <f t="shared" si="0"/>
        <v>115</v>
      </c>
      <c r="U62" s="21">
        <f t="shared" si="1"/>
        <v>365</v>
      </c>
      <c r="V62" s="144">
        <f t="shared" si="2"/>
        <v>365</v>
      </c>
      <c r="W62" s="140">
        <f t="shared" si="3"/>
        <v>0</v>
      </c>
      <c r="X62" s="141">
        <f t="shared" si="4"/>
        <v>0</v>
      </c>
      <c r="Y62" s="141">
        <v>0</v>
      </c>
    </row>
    <row r="63" spans="1:25" ht="15" x14ac:dyDescent="0.25">
      <c r="A63" s="480" t="s">
        <v>1643</v>
      </c>
      <c r="B63" s="412" t="s">
        <v>328</v>
      </c>
      <c r="C63" s="412" t="s">
        <v>141</v>
      </c>
      <c r="D63" s="139" t="str">
        <f>VLOOKUP(C63,'Seznam HS - nemaš'!$A$1:$B$96,2,FALSE)</f>
        <v>402100</v>
      </c>
      <c r="E63" s="443">
        <v>227</v>
      </c>
      <c r="F63" s="481" t="s">
        <v>1645</v>
      </c>
      <c r="G63" s="481"/>
      <c r="H63" s="28">
        <f>+IF(ISBLANK(I63),0,VLOOKUP(I63,'8Příloha_2_ceník_pravid_úklid'!$B$9:$C$30,2,0))</f>
        <v>7</v>
      </c>
      <c r="I63" s="425" t="s">
        <v>14</v>
      </c>
      <c r="J63" s="427">
        <v>3.67</v>
      </c>
      <c r="K63" s="425" t="s">
        <v>50</v>
      </c>
      <c r="L63" s="428" t="s">
        <v>537</v>
      </c>
      <c r="M63" s="429" t="s">
        <v>49</v>
      </c>
      <c r="N63" s="19">
        <f>IF((VLOOKUP(I63,'8Příloha_2_ceník_pravid_úklid'!$B$9:$I$30,8,0))=0,VLOOKUP(I63,'8Příloha_2_ceník_pravid_úklid'!$B$9:$K$30,10,0),VLOOKUP(I63,'8Příloha_2_ceník_pravid_úklid'!$B$9:$I$30,8,0))</f>
        <v>0</v>
      </c>
      <c r="O63" s="20">
        <v>1</v>
      </c>
      <c r="P63" s="20">
        <v>1</v>
      </c>
      <c r="Q63" s="20">
        <v>1</v>
      </c>
      <c r="R63" s="20">
        <v>1</v>
      </c>
      <c r="S63" s="21">
        <f>NETWORKDAYS.INTL(DATE(2018,1,1),DATE(2018,12,31),1,{"2018/1/1";"2018/3/30";"2018/4/2";"2018/5/1";"2018/5/8";"2018/7/5";"2018/7/6";"2018/09/28";"2018/11/17";"2018/12/24";"2018/12/25";"2018/12/26"})</f>
        <v>250</v>
      </c>
      <c r="T63" s="21">
        <f t="shared" si="0"/>
        <v>115</v>
      </c>
      <c r="U63" s="21">
        <f t="shared" si="1"/>
        <v>365</v>
      </c>
      <c r="V63" s="144">
        <f t="shared" si="2"/>
        <v>365</v>
      </c>
      <c r="W63" s="140">
        <f t="shared" si="3"/>
        <v>0</v>
      </c>
      <c r="X63" s="141">
        <f t="shared" si="4"/>
        <v>0</v>
      </c>
      <c r="Y63" s="141">
        <v>0</v>
      </c>
    </row>
    <row r="64" spans="1:25" ht="15" x14ac:dyDescent="0.25">
      <c r="A64" s="480" t="s">
        <v>1643</v>
      </c>
      <c r="B64" s="412" t="s">
        <v>328</v>
      </c>
      <c r="C64" s="412" t="s">
        <v>141</v>
      </c>
      <c r="D64" s="139" t="str">
        <f>VLOOKUP(C64,'Seznam HS - nemaš'!$A$1:$B$96,2,FALSE)</f>
        <v>402100</v>
      </c>
      <c r="E64" s="443">
        <v>228</v>
      </c>
      <c r="F64" s="481" t="s">
        <v>1645</v>
      </c>
      <c r="G64" s="481"/>
      <c r="H64" s="28">
        <f>+IF(ISBLANK(I64),0,VLOOKUP(I64,'8Příloha_2_ceník_pravid_úklid'!$B$9:$C$30,2,0))</f>
        <v>7</v>
      </c>
      <c r="I64" s="425" t="s">
        <v>14</v>
      </c>
      <c r="J64" s="427">
        <v>3.67</v>
      </c>
      <c r="K64" s="425" t="s">
        <v>50</v>
      </c>
      <c r="L64" s="428" t="s">
        <v>537</v>
      </c>
      <c r="M64" s="429" t="s">
        <v>49</v>
      </c>
      <c r="N64" s="19">
        <f>IF((VLOOKUP(I64,'8Příloha_2_ceník_pravid_úklid'!$B$9:$I$30,8,0))=0,VLOOKUP(I64,'8Příloha_2_ceník_pravid_úklid'!$B$9:$K$30,10,0),VLOOKUP(I64,'8Příloha_2_ceník_pravid_úklid'!$B$9:$I$30,8,0))</f>
        <v>0</v>
      </c>
      <c r="O64" s="20">
        <v>1</v>
      </c>
      <c r="P64" s="20">
        <v>1</v>
      </c>
      <c r="Q64" s="20">
        <v>1</v>
      </c>
      <c r="R64" s="20">
        <v>1</v>
      </c>
      <c r="S64" s="21">
        <f>NETWORKDAYS.INTL(DATE(2018,1,1),DATE(2018,12,31),1,{"2018/1/1";"2018/3/30";"2018/4/2";"2018/5/1";"2018/5/8";"2018/7/5";"2018/7/6";"2018/09/28";"2018/11/17";"2018/12/24";"2018/12/25";"2018/12/26"})</f>
        <v>250</v>
      </c>
      <c r="T64" s="21">
        <f t="shared" si="0"/>
        <v>115</v>
      </c>
      <c r="U64" s="21">
        <f t="shared" si="1"/>
        <v>365</v>
      </c>
      <c r="V64" s="144">
        <f t="shared" si="2"/>
        <v>365</v>
      </c>
      <c r="W64" s="140">
        <f t="shared" si="3"/>
        <v>0</v>
      </c>
      <c r="X64" s="141">
        <f t="shared" si="4"/>
        <v>0</v>
      </c>
      <c r="Y64" s="141">
        <v>0</v>
      </c>
    </row>
    <row r="65" spans="1:25" ht="15" x14ac:dyDescent="0.25">
      <c r="A65" s="480" t="s">
        <v>1643</v>
      </c>
      <c r="B65" s="412" t="s">
        <v>328</v>
      </c>
      <c r="C65" s="412" t="s">
        <v>141</v>
      </c>
      <c r="D65" s="139" t="str">
        <f>VLOOKUP(C65,'Seznam HS - nemaš'!$A$1:$B$96,2,FALSE)</f>
        <v>402100</v>
      </c>
      <c r="E65" s="443">
        <v>229</v>
      </c>
      <c r="F65" s="481" t="s">
        <v>1648</v>
      </c>
      <c r="G65" s="481"/>
      <c r="H65" s="28">
        <f>+IF(ISBLANK(I65),0,VLOOKUP(I65,'8Příloha_2_ceník_pravid_úklid'!$B$9:$C$30,2,0))</f>
        <v>2</v>
      </c>
      <c r="I65" s="425" t="s">
        <v>2</v>
      </c>
      <c r="J65" s="427">
        <v>21.99</v>
      </c>
      <c r="K65" s="425" t="s">
        <v>50</v>
      </c>
      <c r="L65" s="428" t="s">
        <v>537</v>
      </c>
      <c r="M65" s="429" t="s">
        <v>49</v>
      </c>
      <c r="N65" s="19">
        <f>IF((VLOOKUP(I65,'8Příloha_2_ceník_pravid_úklid'!$B$9:$I$30,8,0))=0,VLOOKUP(I65,'8Příloha_2_ceník_pravid_úklid'!$B$9:$K$30,10,0),VLOOKUP(I65,'8Příloha_2_ceník_pravid_úklid'!$B$9:$I$30,8,0))</f>
        <v>0</v>
      </c>
      <c r="O65" s="20">
        <v>1</v>
      </c>
      <c r="P65" s="20">
        <v>1</v>
      </c>
      <c r="Q65" s="20">
        <v>1</v>
      </c>
      <c r="R65" s="20">
        <v>1</v>
      </c>
      <c r="S65" s="21">
        <f>NETWORKDAYS.INTL(DATE(2018,1,1),DATE(2018,12,31),1,{"2018/1/1";"2018/3/30";"2018/4/2";"2018/5/1";"2018/5/8";"2018/7/5";"2018/7/6";"2018/09/28";"2018/11/17";"2018/12/24";"2018/12/25";"2018/12/26"})</f>
        <v>250</v>
      </c>
      <c r="T65" s="21">
        <f t="shared" si="0"/>
        <v>115</v>
      </c>
      <c r="U65" s="21">
        <f t="shared" si="1"/>
        <v>365</v>
      </c>
      <c r="V65" s="144">
        <f t="shared" si="2"/>
        <v>365</v>
      </c>
      <c r="W65" s="140">
        <f t="shared" si="3"/>
        <v>0</v>
      </c>
      <c r="X65" s="141">
        <f t="shared" si="4"/>
        <v>0</v>
      </c>
      <c r="Y65" s="141">
        <v>0</v>
      </c>
    </row>
    <row r="66" spans="1:25" ht="15" x14ac:dyDescent="0.25">
      <c r="A66" s="480" t="s">
        <v>1643</v>
      </c>
      <c r="B66" s="412" t="s">
        <v>328</v>
      </c>
      <c r="C66" s="412" t="s">
        <v>141</v>
      </c>
      <c r="D66" s="139" t="str">
        <f>VLOOKUP(C66,'Seznam HS - nemaš'!$A$1:$B$96,2,FALSE)</f>
        <v>402100</v>
      </c>
      <c r="E66" s="443">
        <v>230</v>
      </c>
      <c r="F66" s="481" t="s">
        <v>1626</v>
      </c>
      <c r="G66" s="481"/>
      <c r="H66" s="28">
        <f>+IF(ISBLANK(I66),0,VLOOKUP(I66,'8Příloha_2_ceník_pravid_úklid'!$B$9:$C$30,2,0))</f>
        <v>2</v>
      </c>
      <c r="I66" s="425" t="s">
        <v>2</v>
      </c>
      <c r="J66" s="427">
        <v>20.07</v>
      </c>
      <c r="K66" s="425" t="s">
        <v>51</v>
      </c>
      <c r="L66" s="428" t="s">
        <v>537</v>
      </c>
      <c r="M66" s="429" t="s">
        <v>49</v>
      </c>
      <c r="N66" s="19">
        <f>IF((VLOOKUP(I66,'8Příloha_2_ceník_pravid_úklid'!$B$9:$I$30,8,0))=0,VLOOKUP(I66,'8Příloha_2_ceník_pravid_úklid'!$B$9:$K$30,10,0),VLOOKUP(I66,'8Příloha_2_ceník_pravid_úklid'!$B$9:$I$30,8,0))</f>
        <v>0</v>
      </c>
      <c r="O66" s="20">
        <v>1</v>
      </c>
      <c r="P66" s="20">
        <v>1</v>
      </c>
      <c r="Q66" s="20">
        <v>1</v>
      </c>
      <c r="R66" s="20">
        <v>1</v>
      </c>
      <c r="S66" s="21">
        <f>NETWORKDAYS.INTL(DATE(2018,1,1),DATE(2018,12,31),1,{"2018/1/1";"2018/3/30";"2018/4/2";"2018/5/1";"2018/5/8";"2018/7/5";"2018/7/6";"2018/09/28";"2018/11/17";"2018/12/24";"2018/12/25";"2018/12/26"})</f>
        <v>250</v>
      </c>
      <c r="T66" s="21">
        <f t="shared" si="0"/>
        <v>115</v>
      </c>
      <c r="U66" s="21">
        <f t="shared" si="1"/>
        <v>365</v>
      </c>
      <c r="V66" s="144">
        <f t="shared" si="2"/>
        <v>365</v>
      </c>
      <c r="W66" s="140">
        <f t="shared" si="3"/>
        <v>0</v>
      </c>
      <c r="X66" s="141">
        <f t="shared" si="4"/>
        <v>0</v>
      </c>
      <c r="Y66" s="141">
        <v>0</v>
      </c>
    </row>
    <row r="67" spans="1:25" ht="15" x14ac:dyDescent="0.25">
      <c r="A67" s="480" t="s">
        <v>1643</v>
      </c>
      <c r="B67" s="412" t="s">
        <v>328</v>
      </c>
      <c r="C67" s="412" t="s">
        <v>141</v>
      </c>
      <c r="D67" s="139" t="str">
        <f>VLOOKUP(C67,'Seznam HS - nemaš'!$A$1:$B$96,2,FALSE)</f>
        <v>402100</v>
      </c>
      <c r="E67" s="443">
        <v>231</v>
      </c>
      <c r="F67" s="481" t="s">
        <v>1645</v>
      </c>
      <c r="G67" s="481"/>
      <c r="H67" s="28">
        <f>+IF(ISBLANK(I67),0,VLOOKUP(I67,'8Příloha_2_ceník_pravid_úklid'!$B$9:$C$30,2,0))</f>
        <v>7</v>
      </c>
      <c r="I67" s="425" t="s">
        <v>14</v>
      </c>
      <c r="J67" s="427">
        <v>3.67</v>
      </c>
      <c r="K67" s="425" t="s">
        <v>50</v>
      </c>
      <c r="L67" s="428" t="s">
        <v>537</v>
      </c>
      <c r="M67" s="429" t="s">
        <v>49</v>
      </c>
      <c r="N67" s="19">
        <f>IF((VLOOKUP(I67,'8Příloha_2_ceník_pravid_úklid'!$B$9:$I$30,8,0))=0,VLOOKUP(I67,'8Příloha_2_ceník_pravid_úklid'!$B$9:$K$30,10,0),VLOOKUP(I67,'8Příloha_2_ceník_pravid_úklid'!$B$9:$I$30,8,0))</f>
        <v>0</v>
      </c>
      <c r="O67" s="20">
        <v>1</v>
      </c>
      <c r="P67" s="20">
        <v>1</v>
      </c>
      <c r="Q67" s="20">
        <v>1</v>
      </c>
      <c r="R67" s="20">
        <v>1</v>
      </c>
      <c r="S67" s="21">
        <f>NETWORKDAYS.INTL(DATE(2018,1,1),DATE(2018,12,31),1,{"2018/1/1";"2018/3/30";"2018/4/2";"2018/5/1";"2018/5/8";"2018/7/5";"2018/7/6";"2018/09/28";"2018/11/17";"2018/12/24";"2018/12/25";"2018/12/26"})</f>
        <v>250</v>
      </c>
      <c r="T67" s="21">
        <f t="shared" si="0"/>
        <v>115</v>
      </c>
      <c r="U67" s="21">
        <f t="shared" si="1"/>
        <v>365</v>
      </c>
      <c r="V67" s="144">
        <f t="shared" si="2"/>
        <v>365</v>
      </c>
      <c r="W67" s="140">
        <f t="shared" si="3"/>
        <v>0</v>
      </c>
      <c r="X67" s="141">
        <f t="shared" si="4"/>
        <v>0</v>
      </c>
      <c r="Y67" s="141">
        <v>0</v>
      </c>
    </row>
    <row r="68" spans="1:25" ht="15" x14ac:dyDescent="0.25">
      <c r="A68" s="480" t="s">
        <v>1643</v>
      </c>
      <c r="B68" s="412" t="s">
        <v>328</v>
      </c>
      <c r="C68" s="412" t="s">
        <v>141</v>
      </c>
      <c r="D68" s="139" t="str">
        <f>VLOOKUP(C68,'Seznam HS - nemaš'!$A$1:$B$96,2,FALSE)</f>
        <v>402100</v>
      </c>
      <c r="E68" s="443">
        <v>232</v>
      </c>
      <c r="F68" s="481" t="s">
        <v>1644</v>
      </c>
      <c r="G68" s="481" t="s">
        <v>1274</v>
      </c>
      <c r="H68" s="28">
        <f>+IF(ISBLANK(I68),0,VLOOKUP(I68,'8Příloha_2_ceník_pravid_úklid'!$B$9:$C$30,2,0))</f>
        <v>1</v>
      </c>
      <c r="I68" s="425" t="s">
        <v>78</v>
      </c>
      <c r="J68" s="427">
        <v>17.670000000000002</v>
      </c>
      <c r="K68" s="425" t="s">
        <v>51</v>
      </c>
      <c r="L68" s="428" t="s">
        <v>537</v>
      </c>
      <c r="M68" s="429" t="s">
        <v>49</v>
      </c>
      <c r="N68" s="19">
        <f>IF((VLOOKUP(I68,'8Příloha_2_ceník_pravid_úklid'!$B$9:$I$30,8,0))=0,VLOOKUP(I68,'8Příloha_2_ceník_pravid_úklid'!$B$9:$K$30,10,0),VLOOKUP(I68,'8Příloha_2_ceník_pravid_úklid'!$B$9:$I$30,8,0))</f>
        <v>0</v>
      </c>
      <c r="O68" s="20">
        <v>1</v>
      </c>
      <c r="P68" s="20">
        <v>1</v>
      </c>
      <c r="Q68" s="20">
        <v>1</v>
      </c>
      <c r="R68" s="20">
        <v>1</v>
      </c>
      <c r="S68" s="21">
        <f>NETWORKDAYS.INTL(DATE(2018,1,1),DATE(2018,12,31),1,{"2018/1/1";"2018/3/30";"2018/4/2";"2018/5/1";"2018/5/8";"2018/7/5";"2018/7/6";"2018/09/28";"2018/11/17";"2018/12/24";"2018/12/25";"2018/12/26"})</f>
        <v>250</v>
      </c>
      <c r="T68" s="21">
        <f t="shared" si="0"/>
        <v>115</v>
      </c>
      <c r="U68" s="21">
        <f t="shared" si="1"/>
        <v>365</v>
      </c>
      <c r="V68" s="144">
        <f t="shared" si="2"/>
        <v>365</v>
      </c>
      <c r="W68" s="140">
        <f t="shared" si="3"/>
        <v>0</v>
      </c>
      <c r="X68" s="141">
        <f t="shared" si="4"/>
        <v>0</v>
      </c>
      <c r="Y68" s="141">
        <v>0</v>
      </c>
    </row>
    <row r="69" spans="1:25" ht="15" x14ac:dyDescent="0.25">
      <c r="A69" s="480" t="s">
        <v>1643</v>
      </c>
      <c r="B69" s="412" t="s">
        <v>328</v>
      </c>
      <c r="C69" s="412" t="s">
        <v>141</v>
      </c>
      <c r="D69" s="139" t="str">
        <f>VLOOKUP(C69,'Seznam HS - nemaš'!$A$1:$B$96,2,FALSE)</f>
        <v>402100</v>
      </c>
      <c r="E69" s="443">
        <v>233</v>
      </c>
      <c r="F69" s="481" t="s">
        <v>1644</v>
      </c>
      <c r="G69" s="481" t="s">
        <v>1647</v>
      </c>
      <c r="H69" s="28">
        <f>+IF(ISBLANK(I69),0,VLOOKUP(I69,'8Příloha_2_ceník_pravid_úklid'!$B$9:$C$30,2,0))</f>
        <v>1</v>
      </c>
      <c r="I69" s="425" t="s">
        <v>78</v>
      </c>
      <c r="J69" s="427">
        <v>24.47</v>
      </c>
      <c r="K69" s="425" t="s">
        <v>51</v>
      </c>
      <c r="L69" s="428" t="s">
        <v>537</v>
      </c>
      <c r="M69" s="429" t="s">
        <v>49</v>
      </c>
      <c r="N69" s="19">
        <f>IF((VLOOKUP(I69,'8Příloha_2_ceník_pravid_úklid'!$B$9:$I$30,8,0))=0,VLOOKUP(I69,'8Příloha_2_ceník_pravid_úklid'!$B$9:$K$30,10,0),VLOOKUP(I69,'8Příloha_2_ceník_pravid_úklid'!$B$9:$I$30,8,0))</f>
        <v>0</v>
      </c>
      <c r="O69" s="20">
        <v>1</v>
      </c>
      <c r="P69" s="20">
        <v>1</v>
      </c>
      <c r="Q69" s="20">
        <v>1</v>
      </c>
      <c r="R69" s="20">
        <v>1</v>
      </c>
      <c r="S69" s="21">
        <f>NETWORKDAYS.INTL(DATE(2018,1,1),DATE(2018,12,31),1,{"2018/1/1";"2018/3/30";"2018/4/2";"2018/5/1";"2018/5/8";"2018/7/5";"2018/7/6";"2018/09/28";"2018/11/17";"2018/12/24";"2018/12/25";"2018/12/26"})</f>
        <v>250</v>
      </c>
      <c r="T69" s="21">
        <f t="shared" si="0"/>
        <v>115</v>
      </c>
      <c r="U69" s="21">
        <f t="shared" si="1"/>
        <v>365</v>
      </c>
      <c r="V69" s="144">
        <f t="shared" si="2"/>
        <v>365</v>
      </c>
      <c r="W69" s="140">
        <f t="shared" si="3"/>
        <v>0</v>
      </c>
      <c r="X69" s="141">
        <f t="shared" si="4"/>
        <v>0</v>
      </c>
      <c r="Y69" s="141">
        <v>0</v>
      </c>
    </row>
    <row r="70" spans="1:25" ht="15" x14ac:dyDescent="0.25">
      <c r="A70" s="480" t="s">
        <v>1643</v>
      </c>
      <c r="B70" s="412" t="s">
        <v>328</v>
      </c>
      <c r="C70" s="412" t="s">
        <v>141</v>
      </c>
      <c r="D70" s="139" t="str">
        <f>VLOOKUP(C70,'Seznam HS - nemaš'!$A$1:$B$96,2,FALSE)</f>
        <v>402100</v>
      </c>
      <c r="E70" s="443">
        <v>234</v>
      </c>
      <c r="F70" s="481" t="s">
        <v>1238</v>
      </c>
      <c r="G70" s="481"/>
      <c r="H70" s="28">
        <f>+IF(ISBLANK(I70),0,VLOOKUP(I70,'8Příloha_2_ceník_pravid_úklid'!$B$9:$C$30,2,0))</f>
        <v>17</v>
      </c>
      <c r="I70" s="425" t="s">
        <v>13</v>
      </c>
      <c r="J70" s="427">
        <v>10.5</v>
      </c>
      <c r="K70" s="425" t="s">
        <v>51</v>
      </c>
      <c r="L70" s="463" t="s">
        <v>487</v>
      </c>
      <c r="M70" s="429" t="s">
        <v>49</v>
      </c>
      <c r="N70" s="19">
        <f>IF((VLOOKUP(I70,'8Příloha_2_ceník_pravid_úklid'!$B$9:$I$30,8,0))=0,VLOOKUP(I70,'8Příloha_2_ceník_pravid_úklid'!$B$9:$K$30,10,0),VLOOKUP(I70,'8Příloha_2_ceník_pravid_úklid'!$B$9:$I$30,8,0))</f>
        <v>0</v>
      </c>
      <c r="O70" s="20">
        <v>1</v>
      </c>
      <c r="P70" s="20">
        <f>1/5</f>
        <v>0.2</v>
      </c>
      <c r="Q70" s="20">
        <v>0</v>
      </c>
      <c r="R70" s="20">
        <v>0</v>
      </c>
      <c r="S70" s="21">
        <f>NETWORKDAYS.INTL(DATE(2018,1,1),DATE(2018,12,31),1,{"2018/1/1";"2018/3/30";"2018/4/2";"2018/5/1";"2018/5/8";"2018/7/5";"2018/7/6";"2018/09/28";"2018/11/17";"2018/12/24";"2018/12/25";"2018/12/26"})</f>
        <v>250</v>
      </c>
      <c r="T70" s="21">
        <f t="shared" ref="T70:T88" si="5">U70-S70</f>
        <v>115</v>
      </c>
      <c r="U70" s="21">
        <f t="shared" ref="U70:U88" si="6">_xlfn.DAYS("1.1.2019","1.1.2018")</f>
        <v>365</v>
      </c>
      <c r="V70" s="144">
        <f t="shared" ref="V70:V88" si="7">ROUND(O70*P70*S70+Q70*R70*T70,2)</f>
        <v>50</v>
      </c>
      <c r="W70" s="140">
        <f t="shared" ref="W70:W88" si="8">ROUND(IF(N70="neoceňuje se",+J70*0*V70,J70*N70*V70),2)</f>
        <v>0</v>
      </c>
      <c r="X70" s="141">
        <f t="shared" ref="X70:Y88" si="9">ROUND(W70*1.21,2)</f>
        <v>0</v>
      </c>
      <c r="Y70" s="141">
        <v>0</v>
      </c>
    </row>
    <row r="71" spans="1:25" ht="15" x14ac:dyDescent="0.25">
      <c r="A71" s="480" t="s">
        <v>1643</v>
      </c>
      <c r="B71" s="412" t="s">
        <v>328</v>
      </c>
      <c r="C71" s="412"/>
      <c r="D71" s="139">
        <f>VLOOKUP(C71,'Seznam HS - nemaš'!$A$1:$B$96,2,FALSE)</f>
        <v>0</v>
      </c>
      <c r="E71" s="443">
        <v>235</v>
      </c>
      <c r="F71" s="481" t="s">
        <v>55</v>
      </c>
      <c r="G71" s="481"/>
      <c r="H71" s="28">
        <f>+IF(ISBLANK(I71),0,VLOOKUP(I71,'8Příloha_2_ceník_pravid_úklid'!$B$9:$C$30,2,0))</f>
        <v>6</v>
      </c>
      <c r="I71" s="425" t="s">
        <v>1</v>
      </c>
      <c r="J71" s="427">
        <v>58.73</v>
      </c>
      <c r="K71" s="425" t="s">
        <v>51</v>
      </c>
      <c r="L71" s="428" t="s">
        <v>22</v>
      </c>
      <c r="M71" s="429" t="s">
        <v>49</v>
      </c>
      <c r="N71" s="19">
        <f>IF((VLOOKUP(I71,'8Příloha_2_ceník_pravid_úklid'!$B$9:$I$30,8,0))=0,VLOOKUP(I71,'8Příloha_2_ceník_pravid_úklid'!$B$9:$K$30,10,0),VLOOKUP(I71,'8Příloha_2_ceník_pravid_úklid'!$B$9:$I$30,8,0))</f>
        <v>0</v>
      </c>
      <c r="O71" s="20">
        <v>2</v>
      </c>
      <c r="P71" s="20">
        <v>1</v>
      </c>
      <c r="Q71" s="20">
        <v>2</v>
      </c>
      <c r="R71" s="20">
        <v>1</v>
      </c>
      <c r="S71" s="21">
        <f>NETWORKDAYS.INTL(DATE(2018,1,1),DATE(2018,12,31),1,{"2018/1/1";"2018/3/30";"2018/4/2";"2018/5/1";"2018/5/8";"2018/7/5";"2018/7/6";"2018/09/28";"2018/11/17";"2018/12/24";"2018/12/25";"2018/12/26"})</f>
        <v>250</v>
      </c>
      <c r="T71" s="21">
        <f t="shared" si="5"/>
        <v>115</v>
      </c>
      <c r="U71" s="21">
        <f t="shared" si="6"/>
        <v>365</v>
      </c>
      <c r="V71" s="144">
        <f t="shared" si="7"/>
        <v>730</v>
      </c>
      <c r="W71" s="140">
        <f t="shared" si="8"/>
        <v>0</v>
      </c>
      <c r="X71" s="141">
        <f t="shared" si="9"/>
        <v>0</v>
      </c>
      <c r="Y71" s="141">
        <v>0</v>
      </c>
    </row>
    <row r="72" spans="1:25" ht="15" x14ac:dyDescent="0.25">
      <c r="A72" s="356" t="s">
        <v>1649</v>
      </c>
      <c r="B72" s="437" t="s">
        <v>328</v>
      </c>
      <c r="C72" s="437" t="s">
        <v>143</v>
      </c>
      <c r="D72" s="535" t="str">
        <f>VLOOKUP(C72,'Seznam HS - nemaš'!$A$1:$B$96,2,FALSE)</f>
        <v>402200</v>
      </c>
      <c r="E72" s="444">
        <v>236</v>
      </c>
      <c r="F72" s="479" t="s">
        <v>1637</v>
      </c>
      <c r="G72" s="479" t="s">
        <v>968</v>
      </c>
      <c r="H72" s="224">
        <f>+IF(ISBLANK(I72),0,VLOOKUP(I72,'8Příloha_2_ceník_pravid_úklid'!$B$9:$C$30,2,0))</f>
        <v>7</v>
      </c>
      <c r="I72" s="438" t="s">
        <v>14</v>
      </c>
      <c r="J72" s="440">
        <v>4.92</v>
      </c>
      <c r="K72" s="438"/>
      <c r="L72" s="450" t="s">
        <v>66</v>
      </c>
      <c r="M72" s="442"/>
      <c r="N72" s="229" t="s">
        <v>501</v>
      </c>
      <c r="O72" s="230">
        <v>0</v>
      </c>
      <c r="P72" s="230">
        <v>0</v>
      </c>
      <c r="Q72" s="230">
        <v>0</v>
      </c>
      <c r="R72" s="230">
        <v>0</v>
      </c>
      <c r="S72" s="231">
        <f>NETWORKDAYS.INTL(DATE(2018,1,1),DATE(2018,12,31),1,{"2018/1/1";"2018/3/30";"2018/4/2";"2018/5/1";"2018/5/8";"2018/7/5";"2018/7/6";"2018/09/28";"2018/11/17";"2018/12/24";"2018/12/25";"2018/12/26"})</f>
        <v>250</v>
      </c>
      <c r="T72" s="231">
        <f t="shared" si="5"/>
        <v>115</v>
      </c>
      <c r="U72" s="231">
        <f t="shared" si="6"/>
        <v>365</v>
      </c>
      <c r="V72" s="232">
        <f t="shared" si="7"/>
        <v>0</v>
      </c>
      <c r="W72" s="233">
        <f t="shared" si="8"/>
        <v>0</v>
      </c>
      <c r="X72" s="234">
        <f t="shared" si="9"/>
        <v>0</v>
      </c>
      <c r="Y72" s="234">
        <f t="shared" si="9"/>
        <v>0</v>
      </c>
    </row>
    <row r="73" spans="1:25" ht="15" x14ac:dyDescent="0.25">
      <c r="A73" s="480" t="s">
        <v>1650</v>
      </c>
      <c r="B73" s="412" t="s">
        <v>328</v>
      </c>
      <c r="C73" s="412"/>
      <c r="D73" s="139">
        <f>VLOOKUP(C73,'Seznam HS - nemaš'!$A$1:$B$96,2,FALSE)</f>
        <v>0</v>
      </c>
      <c r="E73" s="443">
        <v>237</v>
      </c>
      <c r="F73" s="481" t="s">
        <v>1651</v>
      </c>
      <c r="G73" s="481" t="s">
        <v>1652</v>
      </c>
      <c r="H73" s="28">
        <f>+IF(ISBLANK(I73),0,VLOOKUP(I73,'8Příloha_2_ceník_pravid_úklid'!$B$9:$C$30,2,0))</f>
        <v>4</v>
      </c>
      <c r="I73" s="425" t="s">
        <v>9</v>
      </c>
      <c r="J73" s="427">
        <v>9.5</v>
      </c>
      <c r="K73" s="425" t="s">
        <v>51</v>
      </c>
      <c r="L73" s="463" t="s">
        <v>1653</v>
      </c>
      <c r="M73" s="429" t="s">
        <v>49</v>
      </c>
      <c r="N73" s="19">
        <f>IF((VLOOKUP(I73,'8Příloha_2_ceník_pravid_úklid'!$B$9:$I$30,8,0))=0,VLOOKUP(I73,'8Příloha_2_ceník_pravid_úklid'!$B$9:$K$30,10,0),VLOOKUP(I73,'8Příloha_2_ceník_pravid_úklid'!$B$9:$I$30,8,0))</f>
        <v>0</v>
      </c>
      <c r="O73" s="20">
        <v>1</v>
      </c>
      <c r="P73" s="20">
        <f>1/5</f>
        <v>0.2</v>
      </c>
      <c r="Q73" s="20">
        <v>0</v>
      </c>
      <c r="R73" s="20">
        <v>0</v>
      </c>
      <c r="S73" s="21">
        <f>NETWORKDAYS.INTL(DATE(2018,1,1),DATE(2018,12,31),1,{"2018/1/1";"2018/3/30";"2018/4/2";"2018/5/1";"2018/5/8";"2018/7/5";"2018/7/6";"2018/09/28";"2018/11/17";"2018/12/24";"2018/12/25";"2018/12/26"})</f>
        <v>250</v>
      </c>
      <c r="T73" s="21">
        <f t="shared" si="5"/>
        <v>115</v>
      </c>
      <c r="U73" s="21">
        <f t="shared" si="6"/>
        <v>365</v>
      </c>
      <c r="V73" s="144">
        <f t="shared" si="7"/>
        <v>50</v>
      </c>
      <c r="W73" s="140">
        <f t="shared" si="8"/>
        <v>0</v>
      </c>
      <c r="X73" s="141">
        <f t="shared" si="9"/>
        <v>0</v>
      </c>
      <c r="Y73" s="141">
        <v>0</v>
      </c>
    </row>
    <row r="74" spans="1:25" ht="15" x14ac:dyDescent="0.25">
      <c r="A74" s="480" t="s">
        <v>1643</v>
      </c>
      <c r="B74" s="412" t="s">
        <v>328</v>
      </c>
      <c r="C74" s="412" t="s">
        <v>141</v>
      </c>
      <c r="D74" s="139" t="str">
        <f>VLOOKUP(C74,'Seznam HS - nemaš'!$A$1:$B$96,2,FALSE)</f>
        <v>402100</v>
      </c>
      <c r="E74" s="443">
        <v>238</v>
      </c>
      <c r="F74" s="481" t="s">
        <v>1654</v>
      </c>
      <c r="G74" s="481" t="s">
        <v>1655</v>
      </c>
      <c r="H74" s="28">
        <f>+IF(ISBLANK(I74),0,VLOOKUP(I74,'8Příloha_2_ceník_pravid_úklid'!$B$9:$C$30,2,0))</f>
        <v>7</v>
      </c>
      <c r="I74" s="425" t="s">
        <v>14</v>
      </c>
      <c r="J74" s="427">
        <v>8.0399999999999991</v>
      </c>
      <c r="K74" s="425" t="s">
        <v>50</v>
      </c>
      <c r="L74" s="428" t="s">
        <v>22</v>
      </c>
      <c r="M74" s="429" t="s">
        <v>49</v>
      </c>
      <c r="N74" s="19">
        <f>IF((VLOOKUP(I74,'8Příloha_2_ceník_pravid_úklid'!$B$9:$I$30,8,0))=0,VLOOKUP(I74,'8Příloha_2_ceník_pravid_úklid'!$B$9:$K$30,10,0),VLOOKUP(I74,'8Příloha_2_ceník_pravid_úklid'!$B$9:$I$30,8,0))</f>
        <v>0</v>
      </c>
      <c r="O74" s="20">
        <v>2</v>
      </c>
      <c r="P74" s="20">
        <v>1</v>
      </c>
      <c r="Q74" s="20">
        <v>2</v>
      </c>
      <c r="R74" s="20">
        <v>1</v>
      </c>
      <c r="S74" s="21">
        <f>NETWORKDAYS.INTL(DATE(2018,1,1),DATE(2018,12,31),1,{"2018/1/1";"2018/3/30";"2018/4/2";"2018/5/1";"2018/5/8";"2018/7/5";"2018/7/6";"2018/09/28";"2018/11/17";"2018/12/24";"2018/12/25";"2018/12/26"})</f>
        <v>250</v>
      </c>
      <c r="T74" s="21">
        <f t="shared" si="5"/>
        <v>115</v>
      </c>
      <c r="U74" s="21">
        <f t="shared" si="6"/>
        <v>365</v>
      </c>
      <c r="V74" s="144">
        <f t="shared" si="7"/>
        <v>730</v>
      </c>
      <c r="W74" s="140">
        <f t="shared" si="8"/>
        <v>0</v>
      </c>
      <c r="X74" s="141">
        <f t="shared" si="9"/>
        <v>0</v>
      </c>
      <c r="Y74" s="141">
        <v>0</v>
      </c>
    </row>
    <row r="75" spans="1:25" ht="15" x14ac:dyDescent="0.25">
      <c r="A75" s="480" t="s">
        <v>1643</v>
      </c>
      <c r="B75" s="412" t="s">
        <v>328</v>
      </c>
      <c r="C75" s="412" t="s">
        <v>143</v>
      </c>
      <c r="D75" s="139" t="str">
        <f>VLOOKUP(C75,'Seznam HS - nemaš'!$A$1:$B$96,2,FALSE)</f>
        <v>402200</v>
      </c>
      <c r="E75" s="443">
        <v>239</v>
      </c>
      <c r="F75" s="481" t="s">
        <v>70</v>
      </c>
      <c r="G75" s="481" t="s">
        <v>379</v>
      </c>
      <c r="H75" s="28">
        <f>+IF(ISBLANK(I75),0,VLOOKUP(I75,'8Příloha_2_ceník_pravid_úklid'!$B$9:$C$30,2,0))</f>
        <v>4</v>
      </c>
      <c r="I75" s="425" t="s">
        <v>9</v>
      </c>
      <c r="J75" s="427">
        <v>7.88</v>
      </c>
      <c r="K75" s="425" t="s">
        <v>51</v>
      </c>
      <c r="L75" s="428" t="s">
        <v>537</v>
      </c>
      <c r="M75" s="429" t="s">
        <v>49</v>
      </c>
      <c r="N75" s="19">
        <f>IF((VLOOKUP(I75,'8Příloha_2_ceník_pravid_úklid'!$B$9:$I$30,8,0))=0,VLOOKUP(I75,'8Příloha_2_ceník_pravid_úklid'!$B$9:$K$30,10,0),VLOOKUP(I75,'8Příloha_2_ceník_pravid_úklid'!$B$9:$I$30,8,0))</f>
        <v>0</v>
      </c>
      <c r="O75" s="20">
        <v>1</v>
      </c>
      <c r="P75" s="20">
        <v>1</v>
      </c>
      <c r="Q75" s="20">
        <v>1</v>
      </c>
      <c r="R75" s="20">
        <v>1</v>
      </c>
      <c r="S75" s="21">
        <f>NETWORKDAYS.INTL(DATE(2018,1,1),DATE(2018,12,31),1,{"2018/1/1";"2018/3/30";"2018/4/2";"2018/5/1";"2018/5/8";"2018/7/5";"2018/7/6";"2018/09/28";"2018/11/17";"2018/12/24";"2018/12/25";"2018/12/26"})</f>
        <v>250</v>
      </c>
      <c r="T75" s="21">
        <f t="shared" si="5"/>
        <v>115</v>
      </c>
      <c r="U75" s="21">
        <f t="shared" si="6"/>
        <v>365</v>
      </c>
      <c r="V75" s="144">
        <f t="shared" si="7"/>
        <v>365</v>
      </c>
      <c r="W75" s="140">
        <f t="shared" si="8"/>
        <v>0</v>
      </c>
      <c r="X75" s="141">
        <f t="shared" si="9"/>
        <v>0</v>
      </c>
      <c r="Y75" s="141">
        <v>0</v>
      </c>
    </row>
    <row r="76" spans="1:25" ht="15" x14ac:dyDescent="0.25">
      <c r="A76" s="480" t="s">
        <v>1643</v>
      </c>
      <c r="B76" s="412" t="s">
        <v>328</v>
      </c>
      <c r="C76" s="412" t="s">
        <v>143</v>
      </c>
      <c r="D76" s="139" t="str">
        <f>VLOOKUP(C76,'Seznam HS - nemaš'!$A$1:$B$96,2,FALSE)</f>
        <v>402200</v>
      </c>
      <c r="E76" s="443">
        <v>240</v>
      </c>
      <c r="F76" s="481" t="s">
        <v>1656</v>
      </c>
      <c r="G76" s="481"/>
      <c r="H76" s="28">
        <f>+IF(ISBLANK(I76),0,VLOOKUP(I76,'8Příloha_2_ceník_pravid_úklid'!$B$9:$C$30,2,0))</f>
        <v>2</v>
      </c>
      <c r="I76" s="425" t="s">
        <v>2</v>
      </c>
      <c r="J76" s="427">
        <v>22.84</v>
      </c>
      <c r="K76" s="425" t="s">
        <v>51</v>
      </c>
      <c r="L76" s="428" t="s">
        <v>537</v>
      </c>
      <c r="M76" s="429" t="s">
        <v>49</v>
      </c>
      <c r="N76" s="19">
        <f>IF((VLOOKUP(I76,'8Příloha_2_ceník_pravid_úklid'!$B$9:$I$30,8,0))=0,VLOOKUP(I76,'8Příloha_2_ceník_pravid_úklid'!$B$9:$K$30,10,0),VLOOKUP(I76,'8Příloha_2_ceník_pravid_úklid'!$B$9:$I$30,8,0))</f>
        <v>0</v>
      </c>
      <c r="O76" s="20">
        <v>1</v>
      </c>
      <c r="P76" s="20">
        <v>1</v>
      </c>
      <c r="Q76" s="20">
        <v>1</v>
      </c>
      <c r="R76" s="20">
        <v>1</v>
      </c>
      <c r="S76" s="21">
        <f>NETWORKDAYS.INTL(DATE(2018,1,1),DATE(2018,12,31),1,{"2018/1/1";"2018/3/30";"2018/4/2";"2018/5/1";"2018/5/8";"2018/7/5";"2018/7/6";"2018/09/28";"2018/11/17";"2018/12/24";"2018/12/25";"2018/12/26"})</f>
        <v>250</v>
      </c>
      <c r="T76" s="21">
        <f t="shared" si="5"/>
        <v>115</v>
      </c>
      <c r="U76" s="21">
        <f t="shared" si="6"/>
        <v>365</v>
      </c>
      <c r="V76" s="144">
        <f t="shared" si="7"/>
        <v>365</v>
      </c>
      <c r="W76" s="140">
        <f t="shared" si="8"/>
        <v>0</v>
      </c>
      <c r="X76" s="141">
        <f t="shared" si="9"/>
        <v>0</v>
      </c>
      <c r="Y76" s="141">
        <v>0</v>
      </c>
    </row>
    <row r="77" spans="1:25" ht="15" x14ac:dyDescent="0.25">
      <c r="A77" s="480" t="s">
        <v>1643</v>
      </c>
      <c r="B77" s="412" t="s">
        <v>328</v>
      </c>
      <c r="C77" s="412" t="s">
        <v>143</v>
      </c>
      <c r="D77" s="139" t="str">
        <f>VLOOKUP(C77,'Seznam HS - nemaš'!$A$1:$B$96,2,FALSE)</f>
        <v>402200</v>
      </c>
      <c r="E77" s="443">
        <v>241</v>
      </c>
      <c r="F77" s="481" t="s">
        <v>1657</v>
      </c>
      <c r="G77" s="481" t="s">
        <v>968</v>
      </c>
      <c r="H77" s="28">
        <f>+IF(ISBLANK(I77),0,VLOOKUP(I77,'8Příloha_2_ceník_pravid_úklid'!$B$9:$C$30,2,0))</f>
        <v>7</v>
      </c>
      <c r="I77" s="425" t="s">
        <v>14</v>
      </c>
      <c r="J77" s="427">
        <v>4.3899999999999997</v>
      </c>
      <c r="K77" s="425" t="s">
        <v>50</v>
      </c>
      <c r="L77" s="428" t="s">
        <v>537</v>
      </c>
      <c r="M77" s="429" t="s">
        <v>49</v>
      </c>
      <c r="N77" s="19">
        <f>IF((VLOOKUP(I77,'8Příloha_2_ceník_pravid_úklid'!$B$9:$I$30,8,0))=0,VLOOKUP(I77,'8Příloha_2_ceník_pravid_úklid'!$B$9:$K$30,10,0),VLOOKUP(I77,'8Příloha_2_ceník_pravid_úklid'!$B$9:$I$30,8,0))</f>
        <v>0</v>
      </c>
      <c r="O77" s="20">
        <v>1</v>
      </c>
      <c r="P77" s="20">
        <v>1</v>
      </c>
      <c r="Q77" s="20">
        <v>1</v>
      </c>
      <c r="R77" s="20">
        <v>1</v>
      </c>
      <c r="S77" s="21">
        <f>NETWORKDAYS.INTL(DATE(2018,1,1),DATE(2018,12,31),1,{"2018/1/1";"2018/3/30";"2018/4/2";"2018/5/1";"2018/5/8";"2018/7/5";"2018/7/6";"2018/09/28";"2018/11/17";"2018/12/24";"2018/12/25";"2018/12/26"})</f>
        <v>250</v>
      </c>
      <c r="T77" s="21">
        <f t="shared" si="5"/>
        <v>115</v>
      </c>
      <c r="U77" s="21">
        <f t="shared" si="6"/>
        <v>365</v>
      </c>
      <c r="V77" s="144">
        <f t="shared" si="7"/>
        <v>365</v>
      </c>
      <c r="W77" s="140">
        <f t="shared" si="8"/>
        <v>0</v>
      </c>
      <c r="X77" s="141">
        <f t="shared" si="9"/>
        <v>0</v>
      </c>
      <c r="Y77" s="141">
        <v>0</v>
      </c>
    </row>
    <row r="78" spans="1:25" ht="15" x14ac:dyDescent="0.25">
      <c r="A78" s="480" t="s">
        <v>1643</v>
      </c>
      <c r="B78" s="412" t="s">
        <v>328</v>
      </c>
      <c r="C78" s="412" t="s">
        <v>141</v>
      </c>
      <c r="D78" s="139" t="str">
        <f>VLOOKUP(C78,'Seznam HS - nemaš'!$A$1:$B$96,2,FALSE)</f>
        <v>402100</v>
      </c>
      <c r="E78" s="443">
        <v>242</v>
      </c>
      <c r="F78" s="481" t="s">
        <v>1658</v>
      </c>
      <c r="G78" s="481"/>
      <c r="H78" s="28">
        <f>+IF(ISBLANK(I78),0,VLOOKUP(I78,'8Příloha_2_ceník_pravid_úklid'!$B$9:$C$30,2,0))</f>
        <v>16</v>
      </c>
      <c r="I78" s="425" t="s">
        <v>6</v>
      </c>
      <c r="J78" s="427">
        <v>7.67</v>
      </c>
      <c r="K78" s="425" t="s">
        <v>51</v>
      </c>
      <c r="L78" s="428" t="s">
        <v>537</v>
      </c>
      <c r="M78" s="429" t="s">
        <v>49</v>
      </c>
      <c r="N78" s="19">
        <f>IF((VLOOKUP(I78,'8Příloha_2_ceník_pravid_úklid'!$B$9:$I$30,8,0))=0,VLOOKUP(I78,'8Příloha_2_ceník_pravid_úklid'!$B$9:$K$30,10,0),VLOOKUP(I78,'8Příloha_2_ceník_pravid_úklid'!$B$9:$I$30,8,0))</f>
        <v>0</v>
      </c>
      <c r="O78" s="20">
        <v>1</v>
      </c>
      <c r="P78" s="20">
        <v>1</v>
      </c>
      <c r="Q78" s="20">
        <v>1</v>
      </c>
      <c r="R78" s="20">
        <v>1</v>
      </c>
      <c r="S78" s="21">
        <f>NETWORKDAYS.INTL(DATE(2018,1,1),DATE(2018,12,31),1,{"2018/1/1";"2018/3/30";"2018/4/2";"2018/5/1";"2018/5/8";"2018/7/5";"2018/7/6";"2018/09/28";"2018/11/17";"2018/12/24";"2018/12/25";"2018/12/26"})</f>
        <v>250</v>
      </c>
      <c r="T78" s="21">
        <f t="shared" si="5"/>
        <v>115</v>
      </c>
      <c r="U78" s="21">
        <f t="shared" si="6"/>
        <v>365</v>
      </c>
      <c r="V78" s="144">
        <f t="shared" si="7"/>
        <v>365</v>
      </c>
      <c r="W78" s="140">
        <f t="shared" si="8"/>
        <v>0</v>
      </c>
      <c r="X78" s="141">
        <f t="shared" si="9"/>
        <v>0</v>
      </c>
      <c r="Y78" s="141">
        <v>0</v>
      </c>
    </row>
    <row r="79" spans="1:25" ht="15" x14ac:dyDescent="0.25">
      <c r="A79" s="480" t="s">
        <v>1643</v>
      </c>
      <c r="B79" s="412" t="s">
        <v>328</v>
      </c>
      <c r="C79" s="412" t="s">
        <v>143</v>
      </c>
      <c r="D79" s="139" t="str">
        <f>VLOOKUP(C79,'Seznam HS - nemaš'!$A$1:$B$96,2,FALSE)</f>
        <v>402200</v>
      </c>
      <c r="E79" s="443">
        <v>243</v>
      </c>
      <c r="F79" s="481" t="s">
        <v>1659</v>
      </c>
      <c r="G79" s="481" t="s">
        <v>968</v>
      </c>
      <c r="H79" s="28">
        <f>+IF(ISBLANK(I79),0,VLOOKUP(I79,'8Příloha_2_ceník_pravid_úklid'!$B$9:$C$30,2,0))</f>
        <v>2</v>
      </c>
      <c r="I79" s="425" t="s">
        <v>2</v>
      </c>
      <c r="J79" s="427">
        <v>12.54</v>
      </c>
      <c r="K79" s="425" t="s">
        <v>51</v>
      </c>
      <c r="L79" s="428" t="s">
        <v>537</v>
      </c>
      <c r="M79" s="429" t="s">
        <v>49</v>
      </c>
      <c r="N79" s="19">
        <f>IF((VLOOKUP(I79,'8Příloha_2_ceník_pravid_úklid'!$B$9:$I$30,8,0))=0,VLOOKUP(I79,'8Příloha_2_ceník_pravid_úklid'!$B$9:$K$30,10,0),VLOOKUP(I79,'8Příloha_2_ceník_pravid_úklid'!$B$9:$I$30,8,0))</f>
        <v>0</v>
      </c>
      <c r="O79" s="20">
        <v>1</v>
      </c>
      <c r="P79" s="20">
        <v>1</v>
      </c>
      <c r="Q79" s="20">
        <v>1</v>
      </c>
      <c r="R79" s="20">
        <v>1</v>
      </c>
      <c r="S79" s="21">
        <f>NETWORKDAYS.INTL(DATE(2018,1,1),DATE(2018,12,31),1,{"2018/1/1";"2018/3/30";"2018/4/2";"2018/5/1";"2018/5/8";"2018/7/5";"2018/7/6";"2018/09/28";"2018/11/17";"2018/12/24";"2018/12/25";"2018/12/26"})</f>
        <v>250</v>
      </c>
      <c r="T79" s="21">
        <f t="shared" si="5"/>
        <v>115</v>
      </c>
      <c r="U79" s="21">
        <f t="shared" si="6"/>
        <v>365</v>
      </c>
      <c r="V79" s="144">
        <f t="shared" si="7"/>
        <v>365</v>
      </c>
      <c r="W79" s="140">
        <f t="shared" si="8"/>
        <v>0</v>
      </c>
      <c r="X79" s="141">
        <f t="shared" si="9"/>
        <v>0</v>
      </c>
      <c r="Y79" s="141">
        <v>0</v>
      </c>
    </row>
    <row r="80" spans="1:25" ht="15" x14ac:dyDescent="0.25">
      <c r="A80" s="480" t="s">
        <v>1643</v>
      </c>
      <c r="B80" s="412" t="s">
        <v>328</v>
      </c>
      <c r="C80" s="412" t="s">
        <v>143</v>
      </c>
      <c r="D80" s="139" t="str">
        <f>VLOOKUP(C80,'Seznam HS - nemaš'!$A$1:$B$96,2,FALSE)</f>
        <v>402200</v>
      </c>
      <c r="E80" s="443">
        <v>244</v>
      </c>
      <c r="F80" s="765" t="s">
        <v>1660</v>
      </c>
      <c r="G80" s="765"/>
      <c r="H80" s="28">
        <f>+IF(ISBLANK(I80),0,VLOOKUP(I80,'8Příloha_2_ceník_pravid_úklid'!$B$9:$C$30,2,0))</f>
        <v>12</v>
      </c>
      <c r="I80" s="425" t="s">
        <v>4</v>
      </c>
      <c r="J80" s="427">
        <v>41.82</v>
      </c>
      <c r="K80" s="425" t="s">
        <v>51</v>
      </c>
      <c r="L80" s="428" t="s">
        <v>559</v>
      </c>
      <c r="M80" s="429" t="s">
        <v>49</v>
      </c>
      <c r="N80" s="19">
        <f>IF((VLOOKUP(I80,'8Příloha_2_ceník_pravid_úklid'!$B$9:$I$30,8,0))=0,VLOOKUP(I80,'8Příloha_2_ceník_pravid_úklid'!$B$9:$K$30,10,0),VLOOKUP(I80,'8Příloha_2_ceník_pravid_úklid'!$B$9:$I$30,8,0))</f>
        <v>0</v>
      </c>
      <c r="O80" s="20">
        <v>3</v>
      </c>
      <c r="P80" s="20">
        <v>1</v>
      </c>
      <c r="Q80" s="20">
        <v>3</v>
      </c>
      <c r="R80" s="20">
        <v>1</v>
      </c>
      <c r="S80" s="21">
        <f>NETWORKDAYS.INTL(DATE(2018,1,1),DATE(2018,12,31),1,{"2018/1/1";"2018/3/30";"2018/4/2";"2018/5/1";"2018/5/8";"2018/7/5";"2018/7/6";"2018/09/28";"2018/11/17";"2018/12/24";"2018/12/25";"2018/12/26"})</f>
        <v>250</v>
      </c>
      <c r="T80" s="21">
        <f t="shared" si="5"/>
        <v>115</v>
      </c>
      <c r="U80" s="21">
        <f t="shared" si="6"/>
        <v>365</v>
      </c>
      <c r="V80" s="144">
        <f t="shared" si="7"/>
        <v>1095</v>
      </c>
      <c r="W80" s="140">
        <f t="shared" si="8"/>
        <v>0</v>
      </c>
      <c r="X80" s="141">
        <f t="shared" si="9"/>
        <v>0</v>
      </c>
      <c r="Y80" s="141">
        <v>0</v>
      </c>
    </row>
    <row r="81" spans="1:25" ht="15" x14ac:dyDescent="0.25">
      <c r="A81" s="480" t="s">
        <v>1643</v>
      </c>
      <c r="B81" s="412" t="s">
        <v>328</v>
      </c>
      <c r="C81" s="412" t="s">
        <v>143</v>
      </c>
      <c r="D81" s="139" t="str">
        <f>VLOOKUP(C81,'Seznam HS - nemaš'!$A$1:$B$96,2,FALSE)</f>
        <v>402200</v>
      </c>
      <c r="E81" s="443">
        <v>245</v>
      </c>
      <c r="F81" s="481" t="s">
        <v>1661</v>
      </c>
      <c r="G81" s="481"/>
      <c r="H81" s="28">
        <f>+IF(ISBLANK(I81),0,VLOOKUP(I81,'8Příloha_2_ceník_pravid_úklid'!$B$9:$C$30,2,0))</f>
        <v>7</v>
      </c>
      <c r="I81" s="425" t="s">
        <v>14</v>
      </c>
      <c r="J81" s="427">
        <v>12.98</v>
      </c>
      <c r="K81" s="425" t="s">
        <v>50</v>
      </c>
      <c r="L81" s="428" t="s">
        <v>22</v>
      </c>
      <c r="M81" s="429" t="s">
        <v>49</v>
      </c>
      <c r="N81" s="19">
        <f>IF((VLOOKUP(I81,'8Příloha_2_ceník_pravid_úklid'!$B$9:$I$30,8,0))=0,VLOOKUP(I81,'8Příloha_2_ceník_pravid_úklid'!$B$9:$K$30,10,0),VLOOKUP(I81,'8Příloha_2_ceník_pravid_úklid'!$B$9:$I$30,8,0))</f>
        <v>0</v>
      </c>
      <c r="O81" s="20">
        <v>2</v>
      </c>
      <c r="P81" s="20">
        <v>1</v>
      </c>
      <c r="Q81" s="20">
        <v>2</v>
      </c>
      <c r="R81" s="20">
        <v>1</v>
      </c>
      <c r="S81" s="21">
        <f>NETWORKDAYS.INTL(DATE(2018,1,1),DATE(2018,12,31),1,{"2018/1/1";"2018/3/30";"2018/4/2";"2018/5/1";"2018/5/8";"2018/7/5";"2018/7/6";"2018/09/28";"2018/11/17";"2018/12/24";"2018/12/25";"2018/12/26"})</f>
        <v>250</v>
      </c>
      <c r="T81" s="21">
        <f t="shared" si="5"/>
        <v>115</v>
      </c>
      <c r="U81" s="21">
        <f t="shared" si="6"/>
        <v>365</v>
      </c>
      <c r="V81" s="144">
        <f t="shared" si="7"/>
        <v>730</v>
      </c>
      <c r="W81" s="140">
        <f t="shared" si="8"/>
        <v>0</v>
      </c>
      <c r="X81" s="141">
        <f t="shared" si="9"/>
        <v>0</v>
      </c>
      <c r="Y81" s="141">
        <v>0</v>
      </c>
    </row>
    <row r="82" spans="1:25" ht="15" x14ac:dyDescent="0.25">
      <c r="A82" s="356" t="s">
        <v>1617</v>
      </c>
      <c r="B82" s="437" t="s">
        <v>328</v>
      </c>
      <c r="C82" s="412"/>
      <c r="D82" s="535">
        <f>VLOOKUP(C82,'Seznam HS - nemaš'!$A$1:$B$96,2,FALSE)</f>
        <v>0</v>
      </c>
      <c r="E82" s="444">
        <v>251</v>
      </c>
      <c r="F82" s="479" t="s">
        <v>1618</v>
      </c>
      <c r="G82" s="479"/>
      <c r="H82" s="224">
        <f>+IF(ISBLANK(I82),0,VLOOKUP(I82,'8Příloha_2_ceník_pravid_úklid'!$B$9:$C$30,2,0))</f>
        <v>8</v>
      </c>
      <c r="I82" s="438" t="s">
        <v>11</v>
      </c>
      <c r="J82" s="440">
        <v>13.16</v>
      </c>
      <c r="K82" s="438"/>
      <c r="L82" s="477" t="s">
        <v>387</v>
      </c>
      <c r="M82" s="442"/>
      <c r="N82" s="229" t="s">
        <v>501</v>
      </c>
      <c r="O82" s="230">
        <v>0</v>
      </c>
      <c r="P82" s="230">
        <v>0</v>
      </c>
      <c r="Q82" s="230">
        <v>0</v>
      </c>
      <c r="R82" s="230">
        <v>0</v>
      </c>
      <c r="S82" s="231">
        <f>NETWORKDAYS.INTL(DATE(2018,1,1),DATE(2018,12,31),1,{"2018/1/1";"2018/3/30";"2018/4/2";"2018/5/1";"2018/5/8";"2018/7/5";"2018/7/6";"2018/09/28";"2018/11/17";"2018/12/24";"2018/12/25";"2018/12/26"})</f>
        <v>250</v>
      </c>
      <c r="T82" s="231">
        <f t="shared" si="5"/>
        <v>115</v>
      </c>
      <c r="U82" s="231">
        <f t="shared" si="6"/>
        <v>365</v>
      </c>
      <c r="V82" s="232">
        <f t="shared" si="7"/>
        <v>0</v>
      </c>
      <c r="W82" s="233">
        <f t="shared" si="8"/>
        <v>0</v>
      </c>
      <c r="X82" s="234">
        <f t="shared" si="9"/>
        <v>0</v>
      </c>
      <c r="Y82" s="234">
        <f t="shared" si="9"/>
        <v>0</v>
      </c>
    </row>
    <row r="83" spans="1:25" ht="15" x14ac:dyDescent="0.25">
      <c r="A83" s="480" t="s">
        <v>1617</v>
      </c>
      <c r="B83" s="412" t="s">
        <v>328</v>
      </c>
      <c r="C83" s="412"/>
      <c r="D83" s="139">
        <f>VLOOKUP(C83,'Seznam HS - nemaš'!$A$1:$B$96,2,FALSE)</f>
        <v>0</v>
      </c>
      <c r="E83" s="443">
        <v>252</v>
      </c>
      <c r="F83" s="481" t="s">
        <v>1662</v>
      </c>
      <c r="G83" s="481"/>
      <c r="H83" s="28">
        <f>+IF(ISBLANK(I83),0,VLOOKUP(I83,'8Příloha_2_ceník_pravid_úklid'!$B$9:$C$30,2,0))</f>
        <v>6</v>
      </c>
      <c r="I83" s="425" t="s">
        <v>1</v>
      </c>
      <c r="J83" s="427">
        <v>11.49</v>
      </c>
      <c r="K83" s="425" t="s">
        <v>50</v>
      </c>
      <c r="L83" s="446" t="s">
        <v>487</v>
      </c>
      <c r="M83" s="429" t="s">
        <v>49</v>
      </c>
      <c r="N83" s="19">
        <f>IF((VLOOKUP(I83,'8Příloha_2_ceník_pravid_úklid'!$B$9:$I$30,8,0))=0,VLOOKUP(I83,'8Příloha_2_ceník_pravid_úklid'!$B$9:$K$30,10,0),VLOOKUP(I83,'8Příloha_2_ceník_pravid_úklid'!$B$9:$I$30,8,0))</f>
        <v>0</v>
      </c>
      <c r="O83" s="20">
        <v>1</v>
      </c>
      <c r="P83" s="20">
        <f>1/5</f>
        <v>0.2</v>
      </c>
      <c r="Q83" s="20">
        <v>0</v>
      </c>
      <c r="R83" s="20">
        <v>0</v>
      </c>
      <c r="S83" s="21">
        <f>NETWORKDAYS.INTL(DATE(2018,1,1),DATE(2018,12,31),1,{"2018/1/1";"2018/3/30";"2018/4/2";"2018/5/1";"2018/5/8";"2018/7/5";"2018/7/6";"2018/09/28";"2018/11/17";"2018/12/24";"2018/12/25";"2018/12/26"})</f>
        <v>250</v>
      </c>
      <c r="T83" s="21">
        <f t="shared" si="5"/>
        <v>115</v>
      </c>
      <c r="U83" s="21">
        <f t="shared" si="6"/>
        <v>365</v>
      </c>
      <c r="V83" s="144">
        <f t="shared" si="7"/>
        <v>50</v>
      </c>
      <c r="W83" s="140">
        <f t="shared" si="8"/>
        <v>0</v>
      </c>
      <c r="X83" s="141">
        <f t="shared" si="9"/>
        <v>0</v>
      </c>
      <c r="Y83" s="141">
        <v>0</v>
      </c>
    </row>
    <row r="84" spans="1:25" ht="15" x14ac:dyDescent="0.25">
      <c r="A84" s="480" t="s">
        <v>1643</v>
      </c>
      <c r="B84" s="412" t="s">
        <v>328</v>
      </c>
      <c r="C84" s="412"/>
      <c r="D84" s="139">
        <f>VLOOKUP(C84,'Seznam HS - nemaš'!$A$1:$B$96,2,FALSE)</f>
        <v>0</v>
      </c>
      <c r="E84" s="443">
        <v>253</v>
      </c>
      <c r="F84" s="481" t="s">
        <v>55</v>
      </c>
      <c r="G84" s="481"/>
      <c r="H84" s="28">
        <f>+IF(ISBLANK(I84),0,VLOOKUP(I84,'8Příloha_2_ceník_pravid_úklid'!$B$9:$C$30,2,0))</f>
        <v>6</v>
      </c>
      <c r="I84" s="425" t="s">
        <v>1</v>
      </c>
      <c r="J84" s="427">
        <v>19.03</v>
      </c>
      <c r="K84" s="425" t="s">
        <v>51</v>
      </c>
      <c r="L84" s="447" t="s">
        <v>22</v>
      </c>
      <c r="M84" s="429" t="s">
        <v>49</v>
      </c>
      <c r="N84" s="19">
        <f>IF((VLOOKUP(I84,'8Příloha_2_ceník_pravid_úklid'!$B$9:$I$30,8,0))=0,VLOOKUP(I84,'8Příloha_2_ceník_pravid_úklid'!$B$9:$K$30,10,0),VLOOKUP(I84,'8Příloha_2_ceník_pravid_úklid'!$B$9:$I$30,8,0))</f>
        <v>0</v>
      </c>
      <c r="O84" s="20">
        <v>2</v>
      </c>
      <c r="P84" s="20">
        <v>1</v>
      </c>
      <c r="Q84" s="20">
        <v>2</v>
      </c>
      <c r="R84" s="20">
        <v>1</v>
      </c>
      <c r="S84" s="21">
        <f>NETWORKDAYS.INTL(DATE(2018,1,1),DATE(2018,12,31),1,{"2018/1/1";"2018/3/30";"2018/4/2";"2018/5/1";"2018/5/8";"2018/7/5";"2018/7/6";"2018/09/28";"2018/11/17";"2018/12/24";"2018/12/25";"2018/12/26"})</f>
        <v>250</v>
      </c>
      <c r="T84" s="21">
        <f t="shared" si="5"/>
        <v>115</v>
      </c>
      <c r="U84" s="21">
        <f t="shared" si="6"/>
        <v>365</v>
      </c>
      <c r="V84" s="144">
        <f t="shared" si="7"/>
        <v>730</v>
      </c>
      <c r="W84" s="140">
        <f t="shared" si="8"/>
        <v>0</v>
      </c>
      <c r="X84" s="141">
        <f t="shared" si="9"/>
        <v>0</v>
      </c>
      <c r="Y84" s="141">
        <v>0</v>
      </c>
    </row>
    <row r="85" spans="1:25" ht="15" x14ac:dyDescent="0.25">
      <c r="A85" s="480" t="s">
        <v>1643</v>
      </c>
      <c r="B85" s="412" t="s">
        <v>328</v>
      </c>
      <c r="C85" s="412"/>
      <c r="D85" s="139">
        <f>VLOOKUP(C85,'Seznam HS - nemaš'!$A$1:$B$96,2,FALSE)</f>
        <v>0</v>
      </c>
      <c r="E85" s="443">
        <v>254</v>
      </c>
      <c r="F85" s="481" t="s">
        <v>1618</v>
      </c>
      <c r="G85" s="481"/>
      <c r="H85" s="28">
        <f>+IF(ISBLANK(I85),0,VLOOKUP(I85,'8Příloha_2_ceník_pravid_úklid'!$B$9:$C$30,2,0))</f>
        <v>8</v>
      </c>
      <c r="I85" s="425" t="s">
        <v>11</v>
      </c>
      <c r="J85" s="427">
        <v>11.33</v>
      </c>
      <c r="K85" s="425" t="s">
        <v>50</v>
      </c>
      <c r="L85" s="447" t="s">
        <v>22</v>
      </c>
      <c r="M85" s="429" t="s">
        <v>49</v>
      </c>
      <c r="N85" s="19">
        <f>IF((VLOOKUP(I85,'8Příloha_2_ceník_pravid_úklid'!$B$9:$I$30,8,0))=0,VLOOKUP(I85,'8Příloha_2_ceník_pravid_úklid'!$B$9:$K$30,10,0),VLOOKUP(I85,'8Příloha_2_ceník_pravid_úklid'!$B$9:$I$30,8,0))</f>
        <v>0</v>
      </c>
      <c r="O85" s="20">
        <v>2</v>
      </c>
      <c r="P85" s="20">
        <v>1</v>
      </c>
      <c r="Q85" s="20">
        <v>2</v>
      </c>
      <c r="R85" s="20">
        <v>1</v>
      </c>
      <c r="S85" s="21">
        <f>NETWORKDAYS.INTL(DATE(2018,1,1),DATE(2018,12,31),1,{"2018/1/1";"2018/3/30";"2018/4/2";"2018/5/1";"2018/5/8";"2018/7/5";"2018/7/6";"2018/09/28";"2018/11/17";"2018/12/24";"2018/12/25";"2018/12/26"})</f>
        <v>250</v>
      </c>
      <c r="T85" s="21">
        <f t="shared" si="5"/>
        <v>115</v>
      </c>
      <c r="U85" s="21">
        <f t="shared" si="6"/>
        <v>365</v>
      </c>
      <c r="V85" s="144">
        <f t="shared" si="7"/>
        <v>730</v>
      </c>
      <c r="W85" s="140">
        <f t="shared" si="8"/>
        <v>0</v>
      </c>
      <c r="X85" s="141">
        <f t="shared" si="9"/>
        <v>0</v>
      </c>
      <c r="Y85" s="141">
        <v>0</v>
      </c>
    </row>
    <row r="86" spans="1:25" ht="15" x14ac:dyDescent="0.25">
      <c r="A86" s="480" t="s">
        <v>1643</v>
      </c>
      <c r="B86" s="412" t="s">
        <v>328</v>
      </c>
      <c r="C86" s="412"/>
      <c r="D86" s="139">
        <f>VLOOKUP(C86,'Seznam HS - nemaš'!$A$1:$B$96,2,FALSE)</f>
        <v>0</v>
      </c>
      <c r="E86" s="443">
        <v>256</v>
      </c>
      <c r="F86" s="481" t="s">
        <v>55</v>
      </c>
      <c r="G86" s="481"/>
      <c r="H86" s="28">
        <f>+IF(ISBLANK(I86),0,VLOOKUP(I86,'8Příloha_2_ceník_pravid_úklid'!$B$9:$C$30,2,0))</f>
        <v>6</v>
      </c>
      <c r="I86" s="425" t="s">
        <v>1</v>
      </c>
      <c r="J86" s="427">
        <v>39.270000000000003</v>
      </c>
      <c r="K86" s="425" t="s">
        <v>51</v>
      </c>
      <c r="L86" s="447" t="s">
        <v>22</v>
      </c>
      <c r="M86" s="429" t="s">
        <v>49</v>
      </c>
      <c r="N86" s="19">
        <f>IF((VLOOKUP(I86,'8Příloha_2_ceník_pravid_úklid'!$B$9:$I$30,8,0))=0,VLOOKUP(I86,'8Příloha_2_ceník_pravid_úklid'!$B$9:$K$30,10,0),VLOOKUP(I86,'8Příloha_2_ceník_pravid_úklid'!$B$9:$I$30,8,0))</f>
        <v>0</v>
      </c>
      <c r="O86" s="20">
        <v>2</v>
      </c>
      <c r="P86" s="20">
        <v>1</v>
      </c>
      <c r="Q86" s="20">
        <v>2</v>
      </c>
      <c r="R86" s="20">
        <v>1</v>
      </c>
      <c r="S86" s="21">
        <f>NETWORKDAYS.INTL(DATE(2018,1,1),DATE(2018,12,31),1,{"2018/1/1";"2018/3/30";"2018/4/2";"2018/5/1";"2018/5/8";"2018/7/5";"2018/7/6";"2018/09/28";"2018/11/17";"2018/12/24";"2018/12/25";"2018/12/26"})</f>
        <v>250</v>
      </c>
      <c r="T86" s="21">
        <f t="shared" si="5"/>
        <v>115</v>
      </c>
      <c r="U86" s="21">
        <f t="shared" si="6"/>
        <v>365</v>
      </c>
      <c r="V86" s="144">
        <f t="shared" si="7"/>
        <v>730</v>
      </c>
      <c r="W86" s="140">
        <f t="shared" si="8"/>
        <v>0</v>
      </c>
      <c r="X86" s="141">
        <f t="shared" si="9"/>
        <v>0</v>
      </c>
      <c r="Y86" s="141">
        <v>0</v>
      </c>
    </row>
    <row r="87" spans="1:25" ht="15" x14ac:dyDescent="0.25">
      <c r="A87" s="480" t="s">
        <v>1643</v>
      </c>
      <c r="B87" s="412" t="s">
        <v>328</v>
      </c>
      <c r="C87" s="412"/>
      <c r="D87" s="139">
        <f>VLOOKUP(C87,'Seznam HS - nemaš'!$A$1:$B$96,2,FALSE)</f>
        <v>0</v>
      </c>
      <c r="E87" s="443">
        <v>257</v>
      </c>
      <c r="F87" s="481" t="s">
        <v>437</v>
      </c>
      <c r="G87" s="481" t="s">
        <v>1663</v>
      </c>
      <c r="H87" s="28">
        <f>+IF(ISBLANK(I87),0,VLOOKUP(I87,'8Příloha_2_ceník_pravid_úklid'!$B$9:$C$30,2,0))</f>
        <v>7</v>
      </c>
      <c r="I87" s="425" t="s">
        <v>14</v>
      </c>
      <c r="J87" s="427">
        <v>2.88</v>
      </c>
      <c r="K87" s="425" t="s">
        <v>50</v>
      </c>
      <c r="L87" s="447" t="s">
        <v>22</v>
      </c>
      <c r="M87" s="429" t="s">
        <v>49</v>
      </c>
      <c r="N87" s="19">
        <f>IF((VLOOKUP(I87,'8Příloha_2_ceník_pravid_úklid'!$B$9:$I$30,8,0))=0,VLOOKUP(I87,'8Příloha_2_ceník_pravid_úklid'!$B$9:$K$30,10,0),VLOOKUP(I87,'8Příloha_2_ceník_pravid_úklid'!$B$9:$I$30,8,0))</f>
        <v>0</v>
      </c>
      <c r="O87" s="20">
        <v>2</v>
      </c>
      <c r="P87" s="20">
        <v>1</v>
      </c>
      <c r="Q87" s="20">
        <v>2</v>
      </c>
      <c r="R87" s="20">
        <v>1</v>
      </c>
      <c r="S87" s="21">
        <f>NETWORKDAYS.INTL(DATE(2018,1,1),DATE(2018,12,31),1,{"2018/1/1";"2018/3/30";"2018/4/2";"2018/5/1";"2018/5/8";"2018/7/5";"2018/7/6";"2018/09/28";"2018/11/17";"2018/12/24";"2018/12/25";"2018/12/26"})</f>
        <v>250</v>
      </c>
      <c r="T87" s="21">
        <f t="shared" si="5"/>
        <v>115</v>
      </c>
      <c r="U87" s="21">
        <f t="shared" si="6"/>
        <v>365</v>
      </c>
      <c r="V87" s="144">
        <f t="shared" si="7"/>
        <v>730</v>
      </c>
      <c r="W87" s="140">
        <f t="shared" si="8"/>
        <v>0</v>
      </c>
      <c r="X87" s="141">
        <f t="shared" si="9"/>
        <v>0</v>
      </c>
      <c r="Y87" s="141">
        <v>0</v>
      </c>
    </row>
    <row r="88" spans="1:25" ht="15" x14ac:dyDescent="0.25">
      <c r="A88" s="482" t="s">
        <v>1643</v>
      </c>
      <c r="B88" s="451" t="s">
        <v>328</v>
      </c>
      <c r="C88" s="451"/>
      <c r="D88" s="212">
        <f>VLOOKUP(C88,'Seznam HS - nemaš'!$A$1:$B$96,2,FALSE)</f>
        <v>0</v>
      </c>
      <c r="E88" s="452">
        <v>258</v>
      </c>
      <c r="F88" s="483" t="s">
        <v>437</v>
      </c>
      <c r="G88" s="483" t="s">
        <v>1664</v>
      </c>
      <c r="H88" s="161">
        <f>+IF(ISBLANK(I88),0,VLOOKUP(I88,'8Příloha_2_ceník_pravid_úklid'!$B$9:$C$30,2,0))</f>
        <v>7</v>
      </c>
      <c r="I88" s="454" t="s">
        <v>14</v>
      </c>
      <c r="J88" s="455">
        <v>2.88</v>
      </c>
      <c r="K88" s="454" t="s">
        <v>50</v>
      </c>
      <c r="L88" s="468" t="s">
        <v>22</v>
      </c>
      <c r="M88" s="457" t="s">
        <v>49</v>
      </c>
      <c r="N88" s="165">
        <f>IF((VLOOKUP(I88,'8Příloha_2_ceník_pravid_úklid'!$B$9:$I$30,8,0))=0,VLOOKUP(I88,'8Příloha_2_ceník_pravid_úklid'!$B$9:$K$30,10,0),VLOOKUP(I88,'8Příloha_2_ceník_pravid_úklid'!$B$9:$I$30,8,0))</f>
        <v>0</v>
      </c>
      <c r="O88" s="166">
        <v>2</v>
      </c>
      <c r="P88" s="166">
        <v>1</v>
      </c>
      <c r="Q88" s="166">
        <v>2</v>
      </c>
      <c r="R88" s="166">
        <v>1</v>
      </c>
      <c r="S88" s="167">
        <f>NETWORKDAYS.INTL(DATE(2018,1,1),DATE(2018,12,31),1,{"2018/1/1";"2018/3/30";"2018/4/2";"2018/5/1";"2018/5/8";"2018/7/5";"2018/7/6";"2018/09/28";"2018/11/17";"2018/12/24";"2018/12/25";"2018/12/26"})</f>
        <v>250</v>
      </c>
      <c r="T88" s="167">
        <f t="shared" si="5"/>
        <v>115</v>
      </c>
      <c r="U88" s="167">
        <f t="shared" si="6"/>
        <v>365</v>
      </c>
      <c r="V88" s="168">
        <f t="shared" si="7"/>
        <v>730</v>
      </c>
      <c r="W88" s="169">
        <f t="shared" si="8"/>
        <v>0</v>
      </c>
      <c r="X88" s="170">
        <f t="shared" si="9"/>
        <v>0</v>
      </c>
      <c r="Y88" s="574">
        <v>0</v>
      </c>
    </row>
    <row r="90" spans="1:25" x14ac:dyDescent="0.2">
      <c r="X90" s="290"/>
      <c r="Y90" s="290"/>
    </row>
    <row r="122" spans="10:10" x14ac:dyDescent="0.2">
      <c r="J122" s="1">
        <v>107.37</v>
      </c>
    </row>
  </sheetData>
  <sheetProtection password="CA8C" sheet="1" objects="1" scenarios="1" formatCells="0" formatColumns="0" formatRows="0" autoFilter="0"/>
  <autoFilter ref="A5:X119"/>
  <mergeCells count="25">
    <mergeCell ref="A2:A3"/>
    <mergeCell ref="B2:B3"/>
    <mergeCell ref="C2:C3"/>
    <mergeCell ref="D2:D3"/>
    <mergeCell ref="E2:E3"/>
    <mergeCell ref="R2:R3"/>
    <mergeCell ref="S2:S3"/>
    <mergeCell ref="G2:G3"/>
    <mergeCell ref="H2:H3"/>
    <mergeCell ref="I2:I3"/>
    <mergeCell ref="J2:K2"/>
    <mergeCell ref="L2:L3"/>
    <mergeCell ref="M2:M3"/>
    <mergeCell ref="F80:G80"/>
    <mergeCell ref="N2:N3"/>
    <mergeCell ref="O2:O3"/>
    <mergeCell ref="P2:P3"/>
    <mergeCell ref="Q2:Q3"/>
    <mergeCell ref="F2:F3"/>
    <mergeCell ref="Y2:Y3"/>
    <mergeCell ref="T2:T3"/>
    <mergeCell ref="U2:U3"/>
    <mergeCell ref="V2:V3"/>
    <mergeCell ref="W2:W3"/>
    <mergeCell ref="X2:X3"/>
  </mergeCells>
  <conditionalFormatting sqref="W2:X2">
    <cfRule type="cellIs" dxfId="3" priority="3" stopIfTrue="1" operator="equal">
      <formula>0</formula>
    </cfRule>
  </conditionalFormatting>
  <conditionalFormatting sqref="Y2">
    <cfRule type="cellIs" dxfId="2" priority="1" stopIfTrue="1" operator="equal">
      <formula>0</formula>
    </cfRule>
  </conditionalFormatting>
  <dataValidations count="1">
    <dataValidation type="list" allowBlank="1" showInputMessage="1" showErrorMessage="1" sqref="C6:C88">
      <formula1>HS0</formula1>
    </dataValidation>
  </dataValidations>
  <pageMargins left="0.31496062992125984" right="0.11811023622047245" top="0.59055118110236227" bottom="0.19685039370078741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zoomScale="55" zoomScaleNormal="55" workbookViewId="0">
      <selection activeCell="N44" sqref="N44"/>
    </sheetView>
  </sheetViews>
  <sheetFormatPr defaultRowHeight="12.75" x14ac:dyDescent="0.2"/>
  <cols>
    <col min="1" max="2" width="9.140625" style="1"/>
    <col min="3" max="3" width="21.42578125" style="1" customWidth="1"/>
    <col min="4" max="4" width="10.42578125" style="1" customWidth="1"/>
    <col min="5" max="5" width="6.5703125" style="1" customWidth="1"/>
    <col min="6" max="6" width="31.7109375" style="1" bestFit="1" customWidth="1"/>
    <col min="7" max="7" width="5.28515625" style="1" customWidth="1"/>
    <col min="8" max="8" width="5.5703125" style="1" customWidth="1"/>
    <col min="9" max="9" width="11.140625" style="1" customWidth="1"/>
    <col min="10" max="10" width="9.28515625" style="1" bestFit="1" customWidth="1"/>
    <col min="11" max="11" width="9.140625" style="1"/>
    <col min="12" max="12" width="10.85546875" style="1" customWidth="1"/>
    <col min="13" max="21" width="9.140625" style="1"/>
    <col min="22" max="22" width="10.140625" style="1" bestFit="1" customWidth="1"/>
    <col min="23" max="24" width="12.140625" style="1" customWidth="1"/>
    <col min="25" max="25" width="14" style="1" customWidth="1"/>
    <col min="26" max="258" width="9.140625" style="1"/>
    <col min="259" max="259" width="34.42578125" style="1" customWidth="1"/>
    <col min="260" max="260" width="9.140625" style="1"/>
    <col min="261" max="261" width="11.42578125" style="1" bestFit="1" customWidth="1"/>
    <col min="262" max="262" width="31.7109375" style="1" bestFit="1" customWidth="1"/>
    <col min="263" max="263" width="10" style="1" customWidth="1"/>
    <col min="264" max="267" width="9.140625" style="1"/>
    <col min="268" max="268" width="10.85546875" style="1" customWidth="1"/>
    <col min="269" max="277" width="9.140625" style="1"/>
    <col min="278" max="278" width="10" style="1" bestFit="1" customWidth="1"/>
    <col min="279" max="514" width="9.140625" style="1"/>
    <col min="515" max="515" width="34.42578125" style="1" customWidth="1"/>
    <col min="516" max="516" width="9.140625" style="1"/>
    <col min="517" max="517" width="11.42578125" style="1" bestFit="1" customWidth="1"/>
    <col min="518" max="518" width="31.7109375" style="1" bestFit="1" customWidth="1"/>
    <col min="519" max="519" width="10" style="1" customWidth="1"/>
    <col min="520" max="523" width="9.140625" style="1"/>
    <col min="524" max="524" width="10.85546875" style="1" customWidth="1"/>
    <col min="525" max="533" width="9.140625" style="1"/>
    <col min="534" max="534" width="10" style="1" bestFit="1" customWidth="1"/>
    <col min="535" max="770" width="9.140625" style="1"/>
    <col min="771" max="771" width="34.42578125" style="1" customWidth="1"/>
    <col min="772" max="772" width="9.140625" style="1"/>
    <col min="773" max="773" width="11.42578125" style="1" bestFit="1" customWidth="1"/>
    <col min="774" max="774" width="31.7109375" style="1" bestFit="1" customWidth="1"/>
    <col min="775" max="775" width="10" style="1" customWidth="1"/>
    <col min="776" max="779" width="9.140625" style="1"/>
    <col min="780" max="780" width="10.85546875" style="1" customWidth="1"/>
    <col min="781" max="789" width="9.140625" style="1"/>
    <col min="790" max="790" width="10" style="1" bestFit="1" customWidth="1"/>
    <col min="791" max="1026" width="9.140625" style="1"/>
    <col min="1027" max="1027" width="34.42578125" style="1" customWidth="1"/>
    <col min="1028" max="1028" width="9.140625" style="1"/>
    <col min="1029" max="1029" width="11.42578125" style="1" bestFit="1" customWidth="1"/>
    <col min="1030" max="1030" width="31.7109375" style="1" bestFit="1" customWidth="1"/>
    <col min="1031" max="1031" width="10" style="1" customWidth="1"/>
    <col min="1032" max="1035" width="9.140625" style="1"/>
    <col min="1036" max="1036" width="10.85546875" style="1" customWidth="1"/>
    <col min="1037" max="1045" width="9.140625" style="1"/>
    <col min="1046" max="1046" width="10" style="1" bestFit="1" customWidth="1"/>
    <col min="1047" max="1282" width="9.140625" style="1"/>
    <col min="1283" max="1283" width="34.42578125" style="1" customWidth="1"/>
    <col min="1284" max="1284" width="9.140625" style="1"/>
    <col min="1285" max="1285" width="11.42578125" style="1" bestFit="1" customWidth="1"/>
    <col min="1286" max="1286" width="31.7109375" style="1" bestFit="1" customWidth="1"/>
    <col min="1287" max="1287" width="10" style="1" customWidth="1"/>
    <col min="1288" max="1291" width="9.140625" style="1"/>
    <col min="1292" max="1292" width="10.85546875" style="1" customWidth="1"/>
    <col min="1293" max="1301" width="9.140625" style="1"/>
    <col min="1302" max="1302" width="10" style="1" bestFit="1" customWidth="1"/>
    <col min="1303" max="1538" width="9.140625" style="1"/>
    <col min="1539" max="1539" width="34.42578125" style="1" customWidth="1"/>
    <col min="1540" max="1540" width="9.140625" style="1"/>
    <col min="1541" max="1541" width="11.42578125" style="1" bestFit="1" customWidth="1"/>
    <col min="1542" max="1542" width="31.7109375" style="1" bestFit="1" customWidth="1"/>
    <col min="1543" max="1543" width="10" style="1" customWidth="1"/>
    <col min="1544" max="1547" width="9.140625" style="1"/>
    <col min="1548" max="1548" width="10.85546875" style="1" customWidth="1"/>
    <col min="1549" max="1557" width="9.140625" style="1"/>
    <col min="1558" max="1558" width="10" style="1" bestFit="1" customWidth="1"/>
    <col min="1559" max="1794" width="9.140625" style="1"/>
    <col min="1795" max="1795" width="34.42578125" style="1" customWidth="1"/>
    <col min="1796" max="1796" width="9.140625" style="1"/>
    <col min="1797" max="1797" width="11.42578125" style="1" bestFit="1" customWidth="1"/>
    <col min="1798" max="1798" width="31.7109375" style="1" bestFit="1" customWidth="1"/>
    <col min="1799" max="1799" width="10" style="1" customWidth="1"/>
    <col min="1800" max="1803" width="9.140625" style="1"/>
    <col min="1804" max="1804" width="10.85546875" style="1" customWidth="1"/>
    <col min="1805" max="1813" width="9.140625" style="1"/>
    <col min="1814" max="1814" width="10" style="1" bestFit="1" customWidth="1"/>
    <col min="1815" max="2050" width="9.140625" style="1"/>
    <col min="2051" max="2051" width="34.42578125" style="1" customWidth="1"/>
    <col min="2052" max="2052" width="9.140625" style="1"/>
    <col min="2053" max="2053" width="11.42578125" style="1" bestFit="1" customWidth="1"/>
    <col min="2054" max="2054" width="31.7109375" style="1" bestFit="1" customWidth="1"/>
    <col min="2055" max="2055" width="10" style="1" customWidth="1"/>
    <col min="2056" max="2059" width="9.140625" style="1"/>
    <col min="2060" max="2060" width="10.85546875" style="1" customWidth="1"/>
    <col min="2061" max="2069" width="9.140625" style="1"/>
    <col min="2070" max="2070" width="10" style="1" bestFit="1" customWidth="1"/>
    <col min="2071" max="2306" width="9.140625" style="1"/>
    <col min="2307" max="2307" width="34.42578125" style="1" customWidth="1"/>
    <col min="2308" max="2308" width="9.140625" style="1"/>
    <col min="2309" max="2309" width="11.42578125" style="1" bestFit="1" customWidth="1"/>
    <col min="2310" max="2310" width="31.7109375" style="1" bestFit="1" customWidth="1"/>
    <col min="2311" max="2311" width="10" style="1" customWidth="1"/>
    <col min="2312" max="2315" width="9.140625" style="1"/>
    <col min="2316" max="2316" width="10.85546875" style="1" customWidth="1"/>
    <col min="2317" max="2325" width="9.140625" style="1"/>
    <col min="2326" max="2326" width="10" style="1" bestFit="1" customWidth="1"/>
    <col min="2327" max="2562" width="9.140625" style="1"/>
    <col min="2563" max="2563" width="34.42578125" style="1" customWidth="1"/>
    <col min="2564" max="2564" width="9.140625" style="1"/>
    <col min="2565" max="2565" width="11.42578125" style="1" bestFit="1" customWidth="1"/>
    <col min="2566" max="2566" width="31.7109375" style="1" bestFit="1" customWidth="1"/>
    <col min="2567" max="2567" width="10" style="1" customWidth="1"/>
    <col min="2568" max="2571" width="9.140625" style="1"/>
    <col min="2572" max="2572" width="10.85546875" style="1" customWidth="1"/>
    <col min="2573" max="2581" width="9.140625" style="1"/>
    <col min="2582" max="2582" width="10" style="1" bestFit="1" customWidth="1"/>
    <col min="2583" max="2818" width="9.140625" style="1"/>
    <col min="2819" max="2819" width="34.42578125" style="1" customWidth="1"/>
    <col min="2820" max="2820" width="9.140625" style="1"/>
    <col min="2821" max="2821" width="11.42578125" style="1" bestFit="1" customWidth="1"/>
    <col min="2822" max="2822" width="31.7109375" style="1" bestFit="1" customWidth="1"/>
    <col min="2823" max="2823" width="10" style="1" customWidth="1"/>
    <col min="2824" max="2827" width="9.140625" style="1"/>
    <col min="2828" max="2828" width="10.85546875" style="1" customWidth="1"/>
    <col min="2829" max="2837" width="9.140625" style="1"/>
    <col min="2838" max="2838" width="10" style="1" bestFit="1" customWidth="1"/>
    <col min="2839" max="3074" width="9.140625" style="1"/>
    <col min="3075" max="3075" width="34.42578125" style="1" customWidth="1"/>
    <col min="3076" max="3076" width="9.140625" style="1"/>
    <col min="3077" max="3077" width="11.42578125" style="1" bestFit="1" customWidth="1"/>
    <col min="3078" max="3078" width="31.7109375" style="1" bestFit="1" customWidth="1"/>
    <col min="3079" max="3079" width="10" style="1" customWidth="1"/>
    <col min="3080" max="3083" width="9.140625" style="1"/>
    <col min="3084" max="3084" width="10.85546875" style="1" customWidth="1"/>
    <col min="3085" max="3093" width="9.140625" style="1"/>
    <col min="3094" max="3094" width="10" style="1" bestFit="1" customWidth="1"/>
    <col min="3095" max="3330" width="9.140625" style="1"/>
    <col min="3331" max="3331" width="34.42578125" style="1" customWidth="1"/>
    <col min="3332" max="3332" width="9.140625" style="1"/>
    <col min="3333" max="3333" width="11.42578125" style="1" bestFit="1" customWidth="1"/>
    <col min="3334" max="3334" width="31.7109375" style="1" bestFit="1" customWidth="1"/>
    <col min="3335" max="3335" width="10" style="1" customWidth="1"/>
    <col min="3336" max="3339" width="9.140625" style="1"/>
    <col min="3340" max="3340" width="10.85546875" style="1" customWidth="1"/>
    <col min="3341" max="3349" width="9.140625" style="1"/>
    <col min="3350" max="3350" width="10" style="1" bestFit="1" customWidth="1"/>
    <col min="3351" max="3586" width="9.140625" style="1"/>
    <col min="3587" max="3587" width="34.42578125" style="1" customWidth="1"/>
    <col min="3588" max="3588" width="9.140625" style="1"/>
    <col min="3589" max="3589" width="11.42578125" style="1" bestFit="1" customWidth="1"/>
    <col min="3590" max="3590" width="31.7109375" style="1" bestFit="1" customWidth="1"/>
    <col min="3591" max="3591" width="10" style="1" customWidth="1"/>
    <col min="3592" max="3595" width="9.140625" style="1"/>
    <col min="3596" max="3596" width="10.85546875" style="1" customWidth="1"/>
    <col min="3597" max="3605" width="9.140625" style="1"/>
    <col min="3606" max="3606" width="10" style="1" bestFit="1" customWidth="1"/>
    <col min="3607" max="3842" width="9.140625" style="1"/>
    <col min="3843" max="3843" width="34.42578125" style="1" customWidth="1"/>
    <col min="3844" max="3844" width="9.140625" style="1"/>
    <col min="3845" max="3845" width="11.42578125" style="1" bestFit="1" customWidth="1"/>
    <col min="3846" max="3846" width="31.7109375" style="1" bestFit="1" customWidth="1"/>
    <col min="3847" max="3847" width="10" style="1" customWidth="1"/>
    <col min="3848" max="3851" width="9.140625" style="1"/>
    <col min="3852" max="3852" width="10.85546875" style="1" customWidth="1"/>
    <col min="3853" max="3861" width="9.140625" style="1"/>
    <col min="3862" max="3862" width="10" style="1" bestFit="1" customWidth="1"/>
    <col min="3863" max="4098" width="9.140625" style="1"/>
    <col min="4099" max="4099" width="34.42578125" style="1" customWidth="1"/>
    <col min="4100" max="4100" width="9.140625" style="1"/>
    <col min="4101" max="4101" width="11.42578125" style="1" bestFit="1" customWidth="1"/>
    <col min="4102" max="4102" width="31.7109375" style="1" bestFit="1" customWidth="1"/>
    <col min="4103" max="4103" width="10" style="1" customWidth="1"/>
    <col min="4104" max="4107" width="9.140625" style="1"/>
    <col min="4108" max="4108" width="10.85546875" style="1" customWidth="1"/>
    <col min="4109" max="4117" width="9.140625" style="1"/>
    <col min="4118" max="4118" width="10" style="1" bestFit="1" customWidth="1"/>
    <col min="4119" max="4354" width="9.140625" style="1"/>
    <col min="4355" max="4355" width="34.42578125" style="1" customWidth="1"/>
    <col min="4356" max="4356" width="9.140625" style="1"/>
    <col min="4357" max="4357" width="11.42578125" style="1" bestFit="1" customWidth="1"/>
    <col min="4358" max="4358" width="31.7109375" style="1" bestFit="1" customWidth="1"/>
    <col min="4359" max="4359" width="10" style="1" customWidth="1"/>
    <col min="4360" max="4363" width="9.140625" style="1"/>
    <col min="4364" max="4364" width="10.85546875" style="1" customWidth="1"/>
    <col min="4365" max="4373" width="9.140625" style="1"/>
    <col min="4374" max="4374" width="10" style="1" bestFit="1" customWidth="1"/>
    <col min="4375" max="4610" width="9.140625" style="1"/>
    <col min="4611" max="4611" width="34.42578125" style="1" customWidth="1"/>
    <col min="4612" max="4612" width="9.140625" style="1"/>
    <col min="4613" max="4613" width="11.42578125" style="1" bestFit="1" customWidth="1"/>
    <col min="4614" max="4614" width="31.7109375" style="1" bestFit="1" customWidth="1"/>
    <col min="4615" max="4615" width="10" style="1" customWidth="1"/>
    <col min="4616" max="4619" width="9.140625" style="1"/>
    <col min="4620" max="4620" width="10.85546875" style="1" customWidth="1"/>
    <col min="4621" max="4629" width="9.140625" style="1"/>
    <col min="4630" max="4630" width="10" style="1" bestFit="1" customWidth="1"/>
    <col min="4631" max="4866" width="9.140625" style="1"/>
    <col min="4867" max="4867" width="34.42578125" style="1" customWidth="1"/>
    <col min="4868" max="4868" width="9.140625" style="1"/>
    <col min="4869" max="4869" width="11.42578125" style="1" bestFit="1" customWidth="1"/>
    <col min="4870" max="4870" width="31.7109375" style="1" bestFit="1" customWidth="1"/>
    <col min="4871" max="4871" width="10" style="1" customWidth="1"/>
    <col min="4872" max="4875" width="9.140625" style="1"/>
    <col min="4876" max="4876" width="10.85546875" style="1" customWidth="1"/>
    <col min="4877" max="4885" width="9.140625" style="1"/>
    <col min="4886" max="4886" width="10" style="1" bestFit="1" customWidth="1"/>
    <col min="4887" max="5122" width="9.140625" style="1"/>
    <col min="5123" max="5123" width="34.42578125" style="1" customWidth="1"/>
    <col min="5124" max="5124" width="9.140625" style="1"/>
    <col min="5125" max="5125" width="11.42578125" style="1" bestFit="1" customWidth="1"/>
    <col min="5126" max="5126" width="31.7109375" style="1" bestFit="1" customWidth="1"/>
    <col min="5127" max="5127" width="10" style="1" customWidth="1"/>
    <col min="5128" max="5131" width="9.140625" style="1"/>
    <col min="5132" max="5132" width="10.85546875" style="1" customWidth="1"/>
    <col min="5133" max="5141" width="9.140625" style="1"/>
    <col min="5142" max="5142" width="10" style="1" bestFit="1" customWidth="1"/>
    <col min="5143" max="5378" width="9.140625" style="1"/>
    <col min="5379" max="5379" width="34.42578125" style="1" customWidth="1"/>
    <col min="5380" max="5380" width="9.140625" style="1"/>
    <col min="5381" max="5381" width="11.42578125" style="1" bestFit="1" customWidth="1"/>
    <col min="5382" max="5382" width="31.7109375" style="1" bestFit="1" customWidth="1"/>
    <col min="5383" max="5383" width="10" style="1" customWidth="1"/>
    <col min="5384" max="5387" width="9.140625" style="1"/>
    <col min="5388" max="5388" width="10.85546875" style="1" customWidth="1"/>
    <col min="5389" max="5397" width="9.140625" style="1"/>
    <col min="5398" max="5398" width="10" style="1" bestFit="1" customWidth="1"/>
    <col min="5399" max="5634" width="9.140625" style="1"/>
    <col min="5635" max="5635" width="34.42578125" style="1" customWidth="1"/>
    <col min="5636" max="5636" width="9.140625" style="1"/>
    <col min="5637" max="5637" width="11.42578125" style="1" bestFit="1" customWidth="1"/>
    <col min="5638" max="5638" width="31.7109375" style="1" bestFit="1" customWidth="1"/>
    <col min="5639" max="5639" width="10" style="1" customWidth="1"/>
    <col min="5640" max="5643" width="9.140625" style="1"/>
    <col min="5644" max="5644" width="10.85546875" style="1" customWidth="1"/>
    <col min="5645" max="5653" width="9.140625" style="1"/>
    <col min="5654" max="5654" width="10" style="1" bestFit="1" customWidth="1"/>
    <col min="5655" max="5890" width="9.140625" style="1"/>
    <col min="5891" max="5891" width="34.42578125" style="1" customWidth="1"/>
    <col min="5892" max="5892" width="9.140625" style="1"/>
    <col min="5893" max="5893" width="11.42578125" style="1" bestFit="1" customWidth="1"/>
    <col min="5894" max="5894" width="31.7109375" style="1" bestFit="1" customWidth="1"/>
    <col min="5895" max="5895" width="10" style="1" customWidth="1"/>
    <col min="5896" max="5899" width="9.140625" style="1"/>
    <col min="5900" max="5900" width="10.85546875" style="1" customWidth="1"/>
    <col min="5901" max="5909" width="9.140625" style="1"/>
    <col min="5910" max="5910" width="10" style="1" bestFit="1" customWidth="1"/>
    <col min="5911" max="6146" width="9.140625" style="1"/>
    <col min="6147" max="6147" width="34.42578125" style="1" customWidth="1"/>
    <col min="6148" max="6148" width="9.140625" style="1"/>
    <col min="6149" max="6149" width="11.42578125" style="1" bestFit="1" customWidth="1"/>
    <col min="6150" max="6150" width="31.7109375" style="1" bestFit="1" customWidth="1"/>
    <col min="6151" max="6151" width="10" style="1" customWidth="1"/>
    <col min="6152" max="6155" width="9.140625" style="1"/>
    <col min="6156" max="6156" width="10.85546875" style="1" customWidth="1"/>
    <col min="6157" max="6165" width="9.140625" style="1"/>
    <col min="6166" max="6166" width="10" style="1" bestFit="1" customWidth="1"/>
    <col min="6167" max="6402" width="9.140625" style="1"/>
    <col min="6403" max="6403" width="34.42578125" style="1" customWidth="1"/>
    <col min="6404" max="6404" width="9.140625" style="1"/>
    <col min="6405" max="6405" width="11.42578125" style="1" bestFit="1" customWidth="1"/>
    <col min="6406" max="6406" width="31.7109375" style="1" bestFit="1" customWidth="1"/>
    <col min="6407" max="6407" width="10" style="1" customWidth="1"/>
    <col min="6408" max="6411" width="9.140625" style="1"/>
    <col min="6412" max="6412" width="10.85546875" style="1" customWidth="1"/>
    <col min="6413" max="6421" width="9.140625" style="1"/>
    <col min="6422" max="6422" width="10" style="1" bestFit="1" customWidth="1"/>
    <col min="6423" max="6658" width="9.140625" style="1"/>
    <col min="6659" max="6659" width="34.42578125" style="1" customWidth="1"/>
    <col min="6660" max="6660" width="9.140625" style="1"/>
    <col min="6661" max="6661" width="11.42578125" style="1" bestFit="1" customWidth="1"/>
    <col min="6662" max="6662" width="31.7109375" style="1" bestFit="1" customWidth="1"/>
    <col min="6663" max="6663" width="10" style="1" customWidth="1"/>
    <col min="6664" max="6667" width="9.140625" style="1"/>
    <col min="6668" max="6668" width="10.85546875" style="1" customWidth="1"/>
    <col min="6669" max="6677" width="9.140625" style="1"/>
    <col min="6678" max="6678" width="10" style="1" bestFit="1" customWidth="1"/>
    <col min="6679" max="6914" width="9.140625" style="1"/>
    <col min="6915" max="6915" width="34.42578125" style="1" customWidth="1"/>
    <col min="6916" max="6916" width="9.140625" style="1"/>
    <col min="6917" max="6917" width="11.42578125" style="1" bestFit="1" customWidth="1"/>
    <col min="6918" max="6918" width="31.7109375" style="1" bestFit="1" customWidth="1"/>
    <col min="6919" max="6919" width="10" style="1" customWidth="1"/>
    <col min="6920" max="6923" width="9.140625" style="1"/>
    <col min="6924" max="6924" width="10.85546875" style="1" customWidth="1"/>
    <col min="6925" max="6933" width="9.140625" style="1"/>
    <col min="6934" max="6934" width="10" style="1" bestFit="1" customWidth="1"/>
    <col min="6935" max="7170" width="9.140625" style="1"/>
    <col min="7171" max="7171" width="34.42578125" style="1" customWidth="1"/>
    <col min="7172" max="7172" width="9.140625" style="1"/>
    <col min="7173" max="7173" width="11.42578125" style="1" bestFit="1" customWidth="1"/>
    <col min="7174" max="7174" width="31.7109375" style="1" bestFit="1" customWidth="1"/>
    <col min="7175" max="7175" width="10" style="1" customWidth="1"/>
    <col min="7176" max="7179" width="9.140625" style="1"/>
    <col min="7180" max="7180" width="10.85546875" style="1" customWidth="1"/>
    <col min="7181" max="7189" width="9.140625" style="1"/>
    <col min="7190" max="7190" width="10" style="1" bestFit="1" customWidth="1"/>
    <col min="7191" max="7426" width="9.140625" style="1"/>
    <col min="7427" max="7427" width="34.42578125" style="1" customWidth="1"/>
    <col min="7428" max="7428" width="9.140625" style="1"/>
    <col min="7429" max="7429" width="11.42578125" style="1" bestFit="1" customWidth="1"/>
    <col min="7430" max="7430" width="31.7109375" style="1" bestFit="1" customWidth="1"/>
    <col min="7431" max="7431" width="10" style="1" customWidth="1"/>
    <col min="7432" max="7435" width="9.140625" style="1"/>
    <col min="7436" max="7436" width="10.85546875" style="1" customWidth="1"/>
    <col min="7437" max="7445" width="9.140625" style="1"/>
    <col min="7446" max="7446" width="10" style="1" bestFit="1" customWidth="1"/>
    <col min="7447" max="7682" width="9.140625" style="1"/>
    <col min="7683" max="7683" width="34.42578125" style="1" customWidth="1"/>
    <col min="7684" max="7684" width="9.140625" style="1"/>
    <col min="7685" max="7685" width="11.42578125" style="1" bestFit="1" customWidth="1"/>
    <col min="7686" max="7686" width="31.7109375" style="1" bestFit="1" customWidth="1"/>
    <col min="7687" max="7687" width="10" style="1" customWidth="1"/>
    <col min="7688" max="7691" width="9.140625" style="1"/>
    <col min="7692" max="7692" width="10.85546875" style="1" customWidth="1"/>
    <col min="7693" max="7701" width="9.140625" style="1"/>
    <col min="7702" max="7702" width="10" style="1" bestFit="1" customWidth="1"/>
    <col min="7703" max="7938" width="9.140625" style="1"/>
    <col min="7939" max="7939" width="34.42578125" style="1" customWidth="1"/>
    <col min="7940" max="7940" width="9.140625" style="1"/>
    <col min="7941" max="7941" width="11.42578125" style="1" bestFit="1" customWidth="1"/>
    <col min="7942" max="7942" width="31.7109375" style="1" bestFit="1" customWidth="1"/>
    <col min="7943" max="7943" width="10" style="1" customWidth="1"/>
    <col min="7944" max="7947" width="9.140625" style="1"/>
    <col min="7948" max="7948" width="10.85546875" style="1" customWidth="1"/>
    <col min="7949" max="7957" width="9.140625" style="1"/>
    <col min="7958" max="7958" width="10" style="1" bestFit="1" customWidth="1"/>
    <col min="7959" max="8194" width="9.140625" style="1"/>
    <col min="8195" max="8195" width="34.42578125" style="1" customWidth="1"/>
    <col min="8196" max="8196" width="9.140625" style="1"/>
    <col min="8197" max="8197" width="11.42578125" style="1" bestFit="1" customWidth="1"/>
    <col min="8198" max="8198" width="31.7109375" style="1" bestFit="1" customWidth="1"/>
    <col min="8199" max="8199" width="10" style="1" customWidth="1"/>
    <col min="8200" max="8203" width="9.140625" style="1"/>
    <col min="8204" max="8204" width="10.85546875" style="1" customWidth="1"/>
    <col min="8205" max="8213" width="9.140625" style="1"/>
    <col min="8214" max="8214" width="10" style="1" bestFit="1" customWidth="1"/>
    <col min="8215" max="8450" width="9.140625" style="1"/>
    <col min="8451" max="8451" width="34.42578125" style="1" customWidth="1"/>
    <col min="8452" max="8452" width="9.140625" style="1"/>
    <col min="8453" max="8453" width="11.42578125" style="1" bestFit="1" customWidth="1"/>
    <col min="8454" max="8454" width="31.7109375" style="1" bestFit="1" customWidth="1"/>
    <col min="8455" max="8455" width="10" style="1" customWidth="1"/>
    <col min="8456" max="8459" width="9.140625" style="1"/>
    <col min="8460" max="8460" width="10.85546875" style="1" customWidth="1"/>
    <col min="8461" max="8469" width="9.140625" style="1"/>
    <col min="8470" max="8470" width="10" style="1" bestFit="1" customWidth="1"/>
    <col min="8471" max="8706" width="9.140625" style="1"/>
    <col min="8707" max="8707" width="34.42578125" style="1" customWidth="1"/>
    <col min="8708" max="8708" width="9.140625" style="1"/>
    <col min="8709" max="8709" width="11.42578125" style="1" bestFit="1" customWidth="1"/>
    <col min="8710" max="8710" width="31.7109375" style="1" bestFit="1" customWidth="1"/>
    <col min="8711" max="8711" width="10" style="1" customWidth="1"/>
    <col min="8712" max="8715" width="9.140625" style="1"/>
    <col min="8716" max="8716" width="10.85546875" style="1" customWidth="1"/>
    <col min="8717" max="8725" width="9.140625" style="1"/>
    <col min="8726" max="8726" width="10" style="1" bestFit="1" customWidth="1"/>
    <col min="8727" max="8962" width="9.140625" style="1"/>
    <col min="8963" max="8963" width="34.42578125" style="1" customWidth="1"/>
    <col min="8964" max="8964" width="9.140625" style="1"/>
    <col min="8965" max="8965" width="11.42578125" style="1" bestFit="1" customWidth="1"/>
    <col min="8966" max="8966" width="31.7109375" style="1" bestFit="1" customWidth="1"/>
    <col min="8967" max="8967" width="10" style="1" customWidth="1"/>
    <col min="8968" max="8971" width="9.140625" style="1"/>
    <col min="8972" max="8972" width="10.85546875" style="1" customWidth="1"/>
    <col min="8973" max="8981" width="9.140625" style="1"/>
    <col min="8982" max="8982" width="10" style="1" bestFit="1" customWidth="1"/>
    <col min="8983" max="9218" width="9.140625" style="1"/>
    <col min="9219" max="9219" width="34.42578125" style="1" customWidth="1"/>
    <col min="9220" max="9220" width="9.140625" style="1"/>
    <col min="9221" max="9221" width="11.42578125" style="1" bestFit="1" customWidth="1"/>
    <col min="9222" max="9222" width="31.7109375" style="1" bestFit="1" customWidth="1"/>
    <col min="9223" max="9223" width="10" style="1" customWidth="1"/>
    <col min="9224" max="9227" width="9.140625" style="1"/>
    <col min="9228" max="9228" width="10.85546875" style="1" customWidth="1"/>
    <col min="9229" max="9237" width="9.140625" style="1"/>
    <col min="9238" max="9238" width="10" style="1" bestFit="1" customWidth="1"/>
    <col min="9239" max="9474" width="9.140625" style="1"/>
    <col min="9475" max="9475" width="34.42578125" style="1" customWidth="1"/>
    <col min="9476" max="9476" width="9.140625" style="1"/>
    <col min="9477" max="9477" width="11.42578125" style="1" bestFit="1" customWidth="1"/>
    <col min="9478" max="9478" width="31.7109375" style="1" bestFit="1" customWidth="1"/>
    <col min="9479" max="9479" width="10" style="1" customWidth="1"/>
    <col min="9480" max="9483" width="9.140625" style="1"/>
    <col min="9484" max="9484" width="10.85546875" style="1" customWidth="1"/>
    <col min="9485" max="9493" width="9.140625" style="1"/>
    <col min="9494" max="9494" width="10" style="1" bestFit="1" customWidth="1"/>
    <col min="9495" max="9730" width="9.140625" style="1"/>
    <col min="9731" max="9731" width="34.42578125" style="1" customWidth="1"/>
    <col min="9732" max="9732" width="9.140625" style="1"/>
    <col min="9733" max="9733" width="11.42578125" style="1" bestFit="1" customWidth="1"/>
    <col min="9734" max="9734" width="31.7109375" style="1" bestFit="1" customWidth="1"/>
    <col min="9735" max="9735" width="10" style="1" customWidth="1"/>
    <col min="9736" max="9739" width="9.140625" style="1"/>
    <col min="9740" max="9740" width="10.85546875" style="1" customWidth="1"/>
    <col min="9741" max="9749" width="9.140625" style="1"/>
    <col min="9750" max="9750" width="10" style="1" bestFit="1" customWidth="1"/>
    <col min="9751" max="9986" width="9.140625" style="1"/>
    <col min="9987" max="9987" width="34.42578125" style="1" customWidth="1"/>
    <col min="9988" max="9988" width="9.140625" style="1"/>
    <col min="9989" max="9989" width="11.42578125" style="1" bestFit="1" customWidth="1"/>
    <col min="9990" max="9990" width="31.7109375" style="1" bestFit="1" customWidth="1"/>
    <col min="9991" max="9991" width="10" style="1" customWidth="1"/>
    <col min="9992" max="9995" width="9.140625" style="1"/>
    <col min="9996" max="9996" width="10.85546875" style="1" customWidth="1"/>
    <col min="9997" max="10005" width="9.140625" style="1"/>
    <col min="10006" max="10006" width="10" style="1" bestFit="1" customWidth="1"/>
    <col min="10007" max="10242" width="9.140625" style="1"/>
    <col min="10243" max="10243" width="34.42578125" style="1" customWidth="1"/>
    <col min="10244" max="10244" width="9.140625" style="1"/>
    <col min="10245" max="10245" width="11.42578125" style="1" bestFit="1" customWidth="1"/>
    <col min="10246" max="10246" width="31.7109375" style="1" bestFit="1" customWidth="1"/>
    <col min="10247" max="10247" width="10" style="1" customWidth="1"/>
    <col min="10248" max="10251" width="9.140625" style="1"/>
    <col min="10252" max="10252" width="10.85546875" style="1" customWidth="1"/>
    <col min="10253" max="10261" width="9.140625" style="1"/>
    <col min="10262" max="10262" width="10" style="1" bestFit="1" customWidth="1"/>
    <col min="10263" max="10498" width="9.140625" style="1"/>
    <col min="10499" max="10499" width="34.42578125" style="1" customWidth="1"/>
    <col min="10500" max="10500" width="9.140625" style="1"/>
    <col min="10501" max="10501" width="11.42578125" style="1" bestFit="1" customWidth="1"/>
    <col min="10502" max="10502" width="31.7109375" style="1" bestFit="1" customWidth="1"/>
    <col min="10503" max="10503" width="10" style="1" customWidth="1"/>
    <col min="10504" max="10507" width="9.140625" style="1"/>
    <col min="10508" max="10508" width="10.85546875" style="1" customWidth="1"/>
    <col min="10509" max="10517" width="9.140625" style="1"/>
    <col min="10518" max="10518" width="10" style="1" bestFit="1" customWidth="1"/>
    <col min="10519" max="10754" width="9.140625" style="1"/>
    <col min="10755" max="10755" width="34.42578125" style="1" customWidth="1"/>
    <col min="10756" max="10756" width="9.140625" style="1"/>
    <col min="10757" max="10757" width="11.42578125" style="1" bestFit="1" customWidth="1"/>
    <col min="10758" max="10758" width="31.7109375" style="1" bestFit="1" customWidth="1"/>
    <col min="10759" max="10759" width="10" style="1" customWidth="1"/>
    <col min="10760" max="10763" width="9.140625" style="1"/>
    <col min="10764" max="10764" width="10.85546875" style="1" customWidth="1"/>
    <col min="10765" max="10773" width="9.140625" style="1"/>
    <col min="10774" max="10774" width="10" style="1" bestFit="1" customWidth="1"/>
    <col min="10775" max="11010" width="9.140625" style="1"/>
    <col min="11011" max="11011" width="34.42578125" style="1" customWidth="1"/>
    <col min="11012" max="11012" width="9.140625" style="1"/>
    <col min="11013" max="11013" width="11.42578125" style="1" bestFit="1" customWidth="1"/>
    <col min="11014" max="11014" width="31.7109375" style="1" bestFit="1" customWidth="1"/>
    <col min="11015" max="11015" width="10" style="1" customWidth="1"/>
    <col min="11016" max="11019" width="9.140625" style="1"/>
    <col min="11020" max="11020" width="10.85546875" style="1" customWidth="1"/>
    <col min="11021" max="11029" width="9.140625" style="1"/>
    <col min="11030" max="11030" width="10" style="1" bestFit="1" customWidth="1"/>
    <col min="11031" max="11266" width="9.140625" style="1"/>
    <col min="11267" max="11267" width="34.42578125" style="1" customWidth="1"/>
    <col min="11268" max="11268" width="9.140625" style="1"/>
    <col min="11269" max="11269" width="11.42578125" style="1" bestFit="1" customWidth="1"/>
    <col min="11270" max="11270" width="31.7109375" style="1" bestFit="1" customWidth="1"/>
    <col min="11271" max="11271" width="10" style="1" customWidth="1"/>
    <col min="11272" max="11275" width="9.140625" style="1"/>
    <col min="11276" max="11276" width="10.85546875" style="1" customWidth="1"/>
    <col min="11277" max="11285" width="9.140625" style="1"/>
    <col min="11286" max="11286" width="10" style="1" bestFit="1" customWidth="1"/>
    <col min="11287" max="11522" width="9.140625" style="1"/>
    <col min="11523" max="11523" width="34.42578125" style="1" customWidth="1"/>
    <col min="11524" max="11524" width="9.140625" style="1"/>
    <col min="11525" max="11525" width="11.42578125" style="1" bestFit="1" customWidth="1"/>
    <col min="11526" max="11526" width="31.7109375" style="1" bestFit="1" customWidth="1"/>
    <col min="11527" max="11527" width="10" style="1" customWidth="1"/>
    <col min="11528" max="11531" width="9.140625" style="1"/>
    <col min="11532" max="11532" width="10.85546875" style="1" customWidth="1"/>
    <col min="11533" max="11541" width="9.140625" style="1"/>
    <col min="11542" max="11542" width="10" style="1" bestFit="1" customWidth="1"/>
    <col min="11543" max="11778" width="9.140625" style="1"/>
    <col min="11779" max="11779" width="34.42578125" style="1" customWidth="1"/>
    <col min="11780" max="11780" width="9.140625" style="1"/>
    <col min="11781" max="11781" width="11.42578125" style="1" bestFit="1" customWidth="1"/>
    <col min="11782" max="11782" width="31.7109375" style="1" bestFit="1" customWidth="1"/>
    <col min="11783" max="11783" width="10" style="1" customWidth="1"/>
    <col min="11784" max="11787" width="9.140625" style="1"/>
    <col min="11788" max="11788" width="10.85546875" style="1" customWidth="1"/>
    <col min="11789" max="11797" width="9.140625" style="1"/>
    <col min="11798" max="11798" width="10" style="1" bestFit="1" customWidth="1"/>
    <col min="11799" max="12034" width="9.140625" style="1"/>
    <col min="12035" max="12035" width="34.42578125" style="1" customWidth="1"/>
    <col min="12036" max="12036" width="9.140625" style="1"/>
    <col min="12037" max="12037" width="11.42578125" style="1" bestFit="1" customWidth="1"/>
    <col min="12038" max="12038" width="31.7109375" style="1" bestFit="1" customWidth="1"/>
    <col min="12039" max="12039" width="10" style="1" customWidth="1"/>
    <col min="12040" max="12043" width="9.140625" style="1"/>
    <col min="12044" max="12044" width="10.85546875" style="1" customWidth="1"/>
    <col min="12045" max="12053" width="9.140625" style="1"/>
    <col min="12054" max="12054" width="10" style="1" bestFit="1" customWidth="1"/>
    <col min="12055" max="12290" width="9.140625" style="1"/>
    <col min="12291" max="12291" width="34.42578125" style="1" customWidth="1"/>
    <col min="12292" max="12292" width="9.140625" style="1"/>
    <col min="12293" max="12293" width="11.42578125" style="1" bestFit="1" customWidth="1"/>
    <col min="12294" max="12294" width="31.7109375" style="1" bestFit="1" customWidth="1"/>
    <col min="12295" max="12295" width="10" style="1" customWidth="1"/>
    <col min="12296" max="12299" width="9.140625" style="1"/>
    <col min="12300" max="12300" width="10.85546875" style="1" customWidth="1"/>
    <col min="12301" max="12309" width="9.140625" style="1"/>
    <col min="12310" max="12310" width="10" style="1" bestFit="1" customWidth="1"/>
    <col min="12311" max="12546" width="9.140625" style="1"/>
    <col min="12547" max="12547" width="34.42578125" style="1" customWidth="1"/>
    <col min="12548" max="12548" width="9.140625" style="1"/>
    <col min="12549" max="12549" width="11.42578125" style="1" bestFit="1" customWidth="1"/>
    <col min="12550" max="12550" width="31.7109375" style="1" bestFit="1" customWidth="1"/>
    <col min="12551" max="12551" width="10" style="1" customWidth="1"/>
    <col min="12552" max="12555" width="9.140625" style="1"/>
    <col min="12556" max="12556" width="10.85546875" style="1" customWidth="1"/>
    <col min="12557" max="12565" width="9.140625" style="1"/>
    <col min="12566" max="12566" width="10" style="1" bestFit="1" customWidth="1"/>
    <col min="12567" max="12802" width="9.140625" style="1"/>
    <col min="12803" max="12803" width="34.42578125" style="1" customWidth="1"/>
    <col min="12804" max="12804" width="9.140625" style="1"/>
    <col min="12805" max="12805" width="11.42578125" style="1" bestFit="1" customWidth="1"/>
    <col min="12806" max="12806" width="31.7109375" style="1" bestFit="1" customWidth="1"/>
    <col min="12807" max="12807" width="10" style="1" customWidth="1"/>
    <col min="12808" max="12811" width="9.140625" style="1"/>
    <col min="12812" max="12812" width="10.85546875" style="1" customWidth="1"/>
    <col min="12813" max="12821" width="9.140625" style="1"/>
    <col min="12822" max="12822" width="10" style="1" bestFit="1" customWidth="1"/>
    <col min="12823" max="13058" width="9.140625" style="1"/>
    <col min="13059" max="13059" width="34.42578125" style="1" customWidth="1"/>
    <col min="13060" max="13060" width="9.140625" style="1"/>
    <col min="13061" max="13061" width="11.42578125" style="1" bestFit="1" customWidth="1"/>
    <col min="13062" max="13062" width="31.7109375" style="1" bestFit="1" customWidth="1"/>
    <col min="13063" max="13063" width="10" style="1" customWidth="1"/>
    <col min="13064" max="13067" width="9.140625" style="1"/>
    <col min="13068" max="13068" width="10.85546875" style="1" customWidth="1"/>
    <col min="13069" max="13077" width="9.140625" style="1"/>
    <col min="13078" max="13078" width="10" style="1" bestFit="1" customWidth="1"/>
    <col min="13079" max="13314" width="9.140625" style="1"/>
    <col min="13315" max="13315" width="34.42578125" style="1" customWidth="1"/>
    <col min="13316" max="13316" width="9.140625" style="1"/>
    <col min="13317" max="13317" width="11.42578125" style="1" bestFit="1" customWidth="1"/>
    <col min="13318" max="13318" width="31.7109375" style="1" bestFit="1" customWidth="1"/>
    <col min="13319" max="13319" width="10" style="1" customWidth="1"/>
    <col min="13320" max="13323" width="9.140625" style="1"/>
    <col min="13324" max="13324" width="10.85546875" style="1" customWidth="1"/>
    <col min="13325" max="13333" width="9.140625" style="1"/>
    <col min="13334" max="13334" width="10" style="1" bestFit="1" customWidth="1"/>
    <col min="13335" max="13570" width="9.140625" style="1"/>
    <col min="13571" max="13571" width="34.42578125" style="1" customWidth="1"/>
    <col min="13572" max="13572" width="9.140625" style="1"/>
    <col min="13573" max="13573" width="11.42578125" style="1" bestFit="1" customWidth="1"/>
    <col min="13574" max="13574" width="31.7109375" style="1" bestFit="1" customWidth="1"/>
    <col min="13575" max="13575" width="10" style="1" customWidth="1"/>
    <col min="13576" max="13579" width="9.140625" style="1"/>
    <col min="13580" max="13580" width="10.85546875" style="1" customWidth="1"/>
    <col min="13581" max="13589" width="9.140625" style="1"/>
    <col min="13590" max="13590" width="10" style="1" bestFit="1" customWidth="1"/>
    <col min="13591" max="13826" width="9.140625" style="1"/>
    <col min="13827" max="13827" width="34.42578125" style="1" customWidth="1"/>
    <col min="13828" max="13828" width="9.140625" style="1"/>
    <col min="13829" max="13829" width="11.42578125" style="1" bestFit="1" customWidth="1"/>
    <col min="13830" max="13830" width="31.7109375" style="1" bestFit="1" customWidth="1"/>
    <col min="13831" max="13831" width="10" style="1" customWidth="1"/>
    <col min="13832" max="13835" width="9.140625" style="1"/>
    <col min="13836" max="13836" width="10.85546875" style="1" customWidth="1"/>
    <col min="13837" max="13845" width="9.140625" style="1"/>
    <col min="13846" max="13846" width="10" style="1" bestFit="1" customWidth="1"/>
    <col min="13847" max="14082" width="9.140625" style="1"/>
    <col min="14083" max="14083" width="34.42578125" style="1" customWidth="1"/>
    <col min="14084" max="14084" width="9.140625" style="1"/>
    <col min="14085" max="14085" width="11.42578125" style="1" bestFit="1" customWidth="1"/>
    <col min="14086" max="14086" width="31.7109375" style="1" bestFit="1" customWidth="1"/>
    <col min="14087" max="14087" width="10" style="1" customWidth="1"/>
    <col min="14088" max="14091" width="9.140625" style="1"/>
    <col min="14092" max="14092" width="10.85546875" style="1" customWidth="1"/>
    <col min="14093" max="14101" width="9.140625" style="1"/>
    <col min="14102" max="14102" width="10" style="1" bestFit="1" customWidth="1"/>
    <col min="14103" max="14338" width="9.140625" style="1"/>
    <col min="14339" max="14339" width="34.42578125" style="1" customWidth="1"/>
    <col min="14340" max="14340" width="9.140625" style="1"/>
    <col min="14341" max="14341" width="11.42578125" style="1" bestFit="1" customWidth="1"/>
    <col min="14342" max="14342" width="31.7109375" style="1" bestFit="1" customWidth="1"/>
    <col min="14343" max="14343" width="10" style="1" customWidth="1"/>
    <col min="14344" max="14347" width="9.140625" style="1"/>
    <col min="14348" max="14348" width="10.85546875" style="1" customWidth="1"/>
    <col min="14349" max="14357" width="9.140625" style="1"/>
    <col min="14358" max="14358" width="10" style="1" bestFit="1" customWidth="1"/>
    <col min="14359" max="14594" width="9.140625" style="1"/>
    <col min="14595" max="14595" width="34.42578125" style="1" customWidth="1"/>
    <col min="14596" max="14596" width="9.140625" style="1"/>
    <col min="14597" max="14597" width="11.42578125" style="1" bestFit="1" customWidth="1"/>
    <col min="14598" max="14598" width="31.7109375" style="1" bestFit="1" customWidth="1"/>
    <col min="14599" max="14599" width="10" style="1" customWidth="1"/>
    <col min="14600" max="14603" width="9.140625" style="1"/>
    <col min="14604" max="14604" width="10.85546875" style="1" customWidth="1"/>
    <col min="14605" max="14613" width="9.140625" style="1"/>
    <col min="14614" max="14614" width="10" style="1" bestFit="1" customWidth="1"/>
    <col min="14615" max="14850" width="9.140625" style="1"/>
    <col min="14851" max="14851" width="34.42578125" style="1" customWidth="1"/>
    <col min="14852" max="14852" width="9.140625" style="1"/>
    <col min="14853" max="14853" width="11.42578125" style="1" bestFit="1" customWidth="1"/>
    <col min="14854" max="14854" width="31.7109375" style="1" bestFit="1" customWidth="1"/>
    <col min="14855" max="14855" width="10" style="1" customWidth="1"/>
    <col min="14856" max="14859" width="9.140625" style="1"/>
    <col min="14860" max="14860" width="10.85546875" style="1" customWidth="1"/>
    <col min="14861" max="14869" width="9.140625" style="1"/>
    <col min="14870" max="14870" width="10" style="1" bestFit="1" customWidth="1"/>
    <col min="14871" max="15106" width="9.140625" style="1"/>
    <col min="15107" max="15107" width="34.42578125" style="1" customWidth="1"/>
    <col min="15108" max="15108" width="9.140625" style="1"/>
    <col min="15109" max="15109" width="11.42578125" style="1" bestFit="1" customWidth="1"/>
    <col min="15110" max="15110" width="31.7109375" style="1" bestFit="1" customWidth="1"/>
    <col min="15111" max="15111" width="10" style="1" customWidth="1"/>
    <col min="15112" max="15115" width="9.140625" style="1"/>
    <col min="15116" max="15116" width="10.85546875" style="1" customWidth="1"/>
    <col min="15117" max="15125" width="9.140625" style="1"/>
    <col min="15126" max="15126" width="10" style="1" bestFit="1" customWidth="1"/>
    <col min="15127" max="15362" width="9.140625" style="1"/>
    <col min="15363" max="15363" width="34.42578125" style="1" customWidth="1"/>
    <col min="15364" max="15364" width="9.140625" style="1"/>
    <col min="15365" max="15365" width="11.42578125" style="1" bestFit="1" customWidth="1"/>
    <col min="15366" max="15366" width="31.7109375" style="1" bestFit="1" customWidth="1"/>
    <col min="15367" max="15367" width="10" style="1" customWidth="1"/>
    <col min="15368" max="15371" width="9.140625" style="1"/>
    <col min="15372" max="15372" width="10.85546875" style="1" customWidth="1"/>
    <col min="15373" max="15381" width="9.140625" style="1"/>
    <col min="15382" max="15382" width="10" style="1" bestFit="1" customWidth="1"/>
    <col min="15383" max="15618" width="9.140625" style="1"/>
    <col min="15619" max="15619" width="34.42578125" style="1" customWidth="1"/>
    <col min="15620" max="15620" width="9.140625" style="1"/>
    <col min="15621" max="15621" width="11.42578125" style="1" bestFit="1" customWidth="1"/>
    <col min="15622" max="15622" width="31.7109375" style="1" bestFit="1" customWidth="1"/>
    <col min="15623" max="15623" width="10" style="1" customWidth="1"/>
    <col min="15624" max="15627" width="9.140625" style="1"/>
    <col min="15628" max="15628" width="10.85546875" style="1" customWidth="1"/>
    <col min="15629" max="15637" width="9.140625" style="1"/>
    <col min="15638" max="15638" width="10" style="1" bestFit="1" customWidth="1"/>
    <col min="15639" max="15874" width="9.140625" style="1"/>
    <col min="15875" max="15875" width="34.42578125" style="1" customWidth="1"/>
    <col min="15876" max="15876" width="9.140625" style="1"/>
    <col min="15877" max="15877" width="11.42578125" style="1" bestFit="1" customWidth="1"/>
    <col min="15878" max="15878" width="31.7109375" style="1" bestFit="1" customWidth="1"/>
    <col min="15879" max="15879" width="10" style="1" customWidth="1"/>
    <col min="15880" max="15883" width="9.140625" style="1"/>
    <col min="15884" max="15884" width="10.85546875" style="1" customWidth="1"/>
    <col min="15885" max="15893" width="9.140625" style="1"/>
    <col min="15894" max="15894" width="10" style="1" bestFit="1" customWidth="1"/>
    <col min="15895" max="16130" width="9.140625" style="1"/>
    <col min="16131" max="16131" width="34.42578125" style="1" customWidth="1"/>
    <col min="16132" max="16132" width="9.140625" style="1"/>
    <col min="16133" max="16133" width="11.42578125" style="1" bestFit="1" customWidth="1"/>
    <col min="16134" max="16134" width="31.7109375" style="1" bestFit="1" customWidth="1"/>
    <col min="16135" max="16135" width="10" style="1" customWidth="1"/>
    <col min="16136" max="16139" width="9.140625" style="1"/>
    <col min="16140" max="16140" width="10.85546875" style="1" customWidth="1"/>
    <col min="16141" max="16149" width="9.140625" style="1"/>
    <col min="16150" max="16150" width="10" style="1" bestFit="1" customWidth="1"/>
    <col min="16151" max="16384" width="9.140625" style="1"/>
  </cols>
  <sheetData>
    <row r="1" spans="1:25" ht="16.5" thickBot="1" x14ac:dyDescent="0.3">
      <c r="A1" s="14" t="s">
        <v>313</v>
      </c>
      <c r="B1" s="27"/>
      <c r="C1" s="27"/>
      <c r="D1" s="27"/>
      <c r="E1" s="27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5"/>
      <c r="X1" s="5" t="s">
        <v>100</v>
      </c>
      <c r="Y1" s="6" t="s">
        <v>1781</v>
      </c>
    </row>
    <row r="2" spans="1:25" ht="33.75" customHeight="1" x14ac:dyDescent="0.2">
      <c r="A2" s="755" t="s">
        <v>73</v>
      </c>
      <c r="B2" s="752" t="s">
        <v>72</v>
      </c>
      <c r="C2" s="752" t="s">
        <v>291</v>
      </c>
      <c r="D2" s="752" t="s">
        <v>292</v>
      </c>
      <c r="E2" s="752" t="s">
        <v>62</v>
      </c>
      <c r="F2" s="752" t="s">
        <v>61</v>
      </c>
      <c r="G2" s="752" t="s">
        <v>60</v>
      </c>
      <c r="H2" s="752" t="s">
        <v>98</v>
      </c>
      <c r="I2" s="752" t="s">
        <v>97</v>
      </c>
      <c r="J2" s="754" t="s">
        <v>71</v>
      </c>
      <c r="K2" s="754"/>
      <c r="L2" s="752" t="s">
        <v>59</v>
      </c>
      <c r="M2" s="752" t="s">
        <v>57</v>
      </c>
      <c r="N2" s="752" t="s">
        <v>56</v>
      </c>
      <c r="O2" s="752" t="s">
        <v>103</v>
      </c>
      <c r="P2" s="752" t="s">
        <v>104</v>
      </c>
      <c r="Q2" s="752" t="s">
        <v>105</v>
      </c>
      <c r="R2" s="752" t="s">
        <v>106</v>
      </c>
      <c r="S2" s="752" t="s">
        <v>107</v>
      </c>
      <c r="T2" s="752" t="s">
        <v>108</v>
      </c>
      <c r="U2" s="752" t="s">
        <v>109</v>
      </c>
      <c r="V2" s="752" t="s">
        <v>110</v>
      </c>
      <c r="W2" s="752" t="s">
        <v>1744</v>
      </c>
      <c r="X2" s="750" t="s">
        <v>1745</v>
      </c>
      <c r="Y2" s="750" t="s">
        <v>1746</v>
      </c>
    </row>
    <row r="3" spans="1:25" ht="33.75" customHeight="1" thickBot="1" x14ac:dyDescent="0.25">
      <c r="A3" s="756"/>
      <c r="B3" s="753"/>
      <c r="C3" s="753"/>
      <c r="D3" s="753"/>
      <c r="E3" s="753"/>
      <c r="F3" s="753"/>
      <c r="G3" s="753"/>
      <c r="H3" s="753"/>
      <c r="I3" s="753"/>
      <c r="J3" s="16" t="s">
        <v>124</v>
      </c>
      <c r="K3" s="81" t="s">
        <v>58</v>
      </c>
      <c r="L3" s="753"/>
      <c r="M3" s="753"/>
      <c r="N3" s="753"/>
      <c r="O3" s="753"/>
      <c r="P3" s="753"/>
      <c r="Q3" s="753"/>
      <c r="R3" s="753"/>
      <c r="S3" s="753"/>
      <c r="T3" s="753"/>
      <c r="U3" s="753"/>
      <c r="V3" s="753"/>
      <c r="W3" s="753"/>
      <c r="X3" s="751"/>
      <c r="Y3" s="751"/>
    </row>
    <row r="4" spans="1:25" x14ac:dyDescent="0.2">
      <c r="A4" s="89"/>
      <c r="B4" s="17"/>
      <c r="C4" s="17"/>
      <c r="D4" s="17"/>
      <c r="E4" s="17"/>
      <c r="F4" s="17"/>
      <c r="G4" s="17"/>
      <c r="H4" s="17"/>
      <c r="I4" s="17"/>
      <c r="J4" s="31">
        <f>SUM(J6:J26)</f>
        <v>280.33000000000004</v>
      </c>
      <c r="K4" s="31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8">
        <f>SUM(W6:W26)</f>
        <v>0</v>
      </c>
      <c r="X4" s="90">
        <f>SUM(X6:X26)</f>
        <v>0</v>
      </c>
      <c r="Y4" s="90">
        <f>SUM(Y6:Y26)</f>
        <v>0</v>
      </c>
    </row>
    <row r="5" spans="1:25" x14ac:dyDescent="0.2">
      <c r="A5" s="112"/>
      <c r="B5" s="113"/>
      <c r="C5" s="113"/>
      <c r="D5" s="113"/>
      <c r="E5" s="113"/>
      <c r="F5" s="113"/>
      <c r="G5" s="113"/>
      <c r="H5" s="113"/>
      <c r="I5" s="113"/>
      <c r="J5" s="114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4"/>
      <c r="X5" s="115"/>
      <c r="Y5" s="115"/>
    </row>
    <row r="6" spans="1:25" x14ac:dyDescent="0.2">
      <c r="A6" s="99" t="s">
        <v>293</v>
      </c>
      <c r="B6" s="32" t="s">
        <v>54</v>
      </c>
      <c r="C6" s="84" t="s">
        <v>236</v>
      </c>
      <c r="D6" s="85" t="str">
        <f>VLOOKUP(C6,'Seznam HS - nemaš'!$A$1:$B$96,2,FALSE)</f>
        <v>471700</v>
      </c>
      <c r="E6" s="29">
        <v>101</v>
      </c>
      <c r="F6" s="116" t="s">
        <v>294</v>
      </c>
      <c r="G6" s="766" t="s">
        <v>1666</v>
      </c>
      <c r="H6" s="28">
        <f>+IF(ISBLANK(I6),0,VLOOKUP(I6,'8Příloha_2_ceník_pravid_úklid'!$B$9:$C$30,2,0))</f>
        <v>6</v>
      </c>
      <c r="I6" s="117" t="s">
        <v>1</v>
      </c>
      <c r="J6" s="118">
        <v>54.84</v>
      </c>
      <c r="K6" s="29" t="s">
        <v>50</v>
      </c>
      <c r="L6" s="119" t="s">
        <v>65</v>
      </c>
      <c r="M6" s="29" t="s">
        <v>49</v>
      </c>
      <c r="N6" s="24">
        <f>IF((VLOOKUP(I6,'8Příloha_2_ceník_pravid_úklid'!$B$9:$I$30,8,0))=0,VLOOKUP(I6,'8Příloha_2_ceník_pravid_úklid'!$B$9:$K$30,10,0),VLOOKUP(I6,'8Příloha_2_ceník_pravid_úklid'!$B$9:$I$30,8,0))</f>
        <v>0</v>
      </c>
      <c r="O6" s="25">
        <v>2</v>
      </c>
      <c r="P6" s="25">
        <v>1</v>
      </c>
      <c r="Q6" s="25">
        <v>0</v>
      </c>
      <c r="R6" s="25">
        <v>0</v>
      </c>
      <c r="S6" s="26">
        <f>NETWORKDAYS.INTL(DATE(2018,1,1),DATE(2018,12,31),1,{"2018/1/1";"2018/3/30";"2018/4/2";"2018/5/1";"2018/5/8";"2018/7/5";"2018/7/6";"2018/09/28";"2018/11/17";"2018/12/24";"2018/12/25";"2018/12/26"})</f>
        <v>250</v>
      </c>
      <c r="T6" s="26">
        <f t="shared" ref="T6:T26" si="0">U6-S6</f>
        <v>115</v>
      </c>
      <c r="U6" s="26">
        <f t="shared" ref="U6:U26" si="1">_xlfn.DAYS("1.1.2019","1.1.2018")</f>
        <v>365</v>
      </c>
      <c r="V6" s="87">
        <f t="shared" ref="V6:V26" si="2">ROUND(O6*P6*S6+Q6*R6*T6,2)</f>
        <v>500</v>
      </c>
      <c r="W6" s="151">
        <f t="shared" ref="W6:W26" si="3">ROUND(IF(N6="neoceňuje se",+J6*0*V6,J6*N6*V6),2)</f>
        <v>0</v>
      </c>
      <c r="X6" s="599">
        <f t="shared" ref="X6:X26" si="4">ROUND(W6*1.21,2)</f>
        <v>0</v>
      </c>
      <c r="Y6" s="599">
        <v>0</v>
      </c>
    </row>
    <row r="7" spans="1:25" ht="15" customHeight="1" x14ac:dyDescent="0.2">
      <c r="A7" s="101" t="s">
        <v>293</v>
      </c>
      <c r="B7" s="23" t="s">
        <v>54</v>
      </c>
      <c r="C7" s="102" t="s">
        <v>236</v>
      </c>
      <c r="D7" s="85" t="str">
        <f>VLOOKUP(C7,'Seznam HS - nemaš'!$A$1:$B$96,2,FALSE)</f>
        <v>471700</v>
      </c>
      <c r="E7" s="22">
        <v>102</v>
      </c>
      <c r="F7" s="103" t="s">
        <v>295</v>
      </c>
      <c r="G7" s="767"/>
      <c r="H7" s="28">
        <f>+IF(ISBLANK(I7),0,VLOOKUP(I7,'8Příloha_2_ceník_pravid_úklid'!$B$9:$C$30,2,0))</f>
        <v>4</v>
      </c>
      <c r="I7" s="82" t="s">
        <v>9</v>
      </c>
      <c r="J7" s="104">
        <v>13.1</v>
      </c>
      <c r="K7" s="22" t="s">
        <v>52</v>
      </c>
      <c r="L7" s="86" t="s">
        <v>89</v>
      </c>
      <c r="M7" s="22" t="s">
        <v>49</v>
      </c>
      <c r="N7" s="19">
        <f>IF((VLOOKUP(I7,'8Příloha_2_ceník_pravid_úklid'!$B$9:$I$30,8,0))=0,VLOOKUP(I7,'8Příloha_2_ceník_pravid_úklid'!$B$9:$K$30,10,0),VLOOKUP(I7,'8Příloha_2_ceník_pravid_úklid'!$B$9:$I$30,8,0))</f>
        <v>0</v>
      </c>
      <c r="O7" s="20">
        <v>1</v>
      </c>
      <c r="P7" s="20">
        <v>1</v>
      </c>
      <c r="Q7" s="20">
        <v>0</v>
      </c>
      <c r="R7" s="20">
        <v>0</v>
      </c>
      <c r="S7" s="26">
        <f>NETWORKDAYS.INTL(DATE(2018,1,1),DATE(2018,12,31),1,{"2018/1/1";"2018/3/30";"2018/4/2";"2018/5/1";"2018/5/8";"2018/7/5";"2018/7/6";"2018/09/28";"2018/11/17";"2018/12/24";"2018/12/25";"2018/12/26"})</f>
        <v>250</v>
      </c>
      <c r="T7" s="26">
        <f t="shared" si="0"/>
        <v>115</v>
      </c>
      <c r="U7" s="26">
        <f t="shared" si="1"/>
        <v>365</v>
      </c>
      <c r="V7" s="88">
        <f t="shared" si="2"/>
        <v>250</v>
      </c>
      <c r="W7" s="155">
        <f t="shared" si="3"/>
        <v>0</v>
      </c>
      <c r="X7" s="600">
        <f t="shared" si="4"/>
        <v>0</v>
      </c>
      <c r="Y7" s="600">
        <v>0</v>
      </c>
    </row>
    <row r="8" spans="1:25" ht="15" customHeight="1" x14ac:dyDescent="0.2">
      <c r="A8" s="101" t="s">
        <v>293</v>
      </c>
      <c r="B8" s="23" t="s">
        <v>54</v>
      </c>
      <c r="C8" s="102" t="s">
        <v>236</v>
      </c>
      <c r="D8" s="85" t="str">
        <f>VLOOKUP(C8,'Seznam HS - nemaš'!$A$1:$B$96,2,FALSE)</f>
        <v>471700</v>
      </c>
      <c r="E8" s="22">
        <v>103</v>
      </c>
      <c r="F8" s="103" t="s">
        <v>296</v>
      </c>
      <c r="G8" s="767"/>
      <c r="H8" s="28">
        <f>+IF(ISBLANK(I8),0,VLOOKUP(I8,'8Příloha_2_ceník_pravid_úklid'!$B$9:$C$30,2,0))</f>
        <v>17</v>
      </c>
      <c r="I8" s="82" t="s">
        <v>13</v>
      </c>
      <c r="J8" s="104">
        <v>20.53</v>
      </c>
      <c r="K8" s="22" t="s">
        <v>50</v>
      </c>
      <c r="L8" s="86" t="s">
        <v>65</v>
      </c>
      <c r="M8" s="22" t="s">
        <v>49</v>
      </c>
      <c r="N8" s="19">
        <f>IF((VLOOKUP(I8,'8Příloha_2_ceník_pravid_úklid'!$B$9:$I$30,8,0))=0,VLOOKUP(I8,'8Příloha_2_ceník_pravid_úklid'!$B$9:$K$30,10,0),VLOOKUP(I8,'8Příloha_2_ceník_pravid_úklid'!$B$9:$I$30,8,0))</f>
        <v>0</v>
      </c>
      <c r="O8" s="20">
        <v>2</v>
      </c>
      <c r="P8" s="20">
        <v>1</v>
      </c>
      <c r="Q8" s="20">
        <v>0</v>
      </c>
      <c r="R8" s="20">
        <v>0</v>
      </c>
      <c r="S8" s="26">
        <f>NETWORKDAYS.INTL(DATE(2018,1,1),DATE(2018,12,31),1,{"2018/1/1";"2018/3/30";"2018/4/2";"2018/5/1";"2018/5/8";"2018/7/5";"2018/7/6";"2018/09/28";"2018/11/17";"2018/12/24";"2018/12/25";"2018/12/26"})</f>
        <v>250</v>
      </c>
      <c r="T8" s="26">
        <f t="shared" si="0"/>
        <v>115</v>
      </c>
      <c r="U8" s="26">
        <f t="shared" si="1"/>
        <v>365</v>
      </c>
      <c r="V8" s="88">
        <f t="shared" si="2"/>
        <v>500</v>
      </c>
      <c r="W8" s="155">
        <f t="shared" si="3"/>
        <v>0</v>
      </c>
      <c r="X8" s="600">
        <f t="shared" si="4"/>
        <v>0</v>
      </c>
      <c r="Y8" s="600">
        <v>0</v>
      </c>
    </row>
    <row r="9" spans="1:25" ht="15" customHeight="1" x14ac:dyDescent="0.2">
      <c r="A9" s="101" t="s">
        <v>293</v>
      </c>
      <c r="B9" s="23" t="s">
        <v>54</v>
      </c>
      <c r="C9" s="102" t="s">
        <v>234</v>
      </c>
      <c r="D9" s="85" t="str">
        <f>VLOOKUP(C9,'Seznam HS - nemaš'!$A$1:$B$96,2,FALSE)</f>
        <v>470700</v>
      </c>
      <c r="E9" s="22">
        <v>104</v>
      </c>
      <c r="F9" s="103" t="s">
        <v>55</v>
      </c>
      <c r="G9" s="767"/>
      <c r="H9" s="28">
        <f>+IF(ISBLANK(I9),0,VLOOKUP(I9,'8Příloha_2_ceník_pravid_úklid'!$B$9:$C$30,2,0))</f>
        <v>6</v>
      </c>
      <c r="I9" s="82" t="s">
        <v>1</v>
      </c>
      <c r="J9" s="104">
        <v>16.440000000000001</v>
      </c>
      <c r="K9" s="22" t="s">
        <v>50</v>
      </c>
      <c r="L9" s="86" t="s">
        <v>65</v>
      </c>
      <c r="M9" s="22" t="s">
        <v>49</v>
      </c>
      <c r="N9" s="19">
        <f>IF((VLOOKUP(I9,'8Příloha_2_ceník_pravid_úklid'!$B$9:$I$30,8,0))=0,VLOOKUP(I9,'8Příloha_2_ceník_pravid_úklid'!$B$9:$K$30,10,0),VLOOKUP(I9,'8Příloha_2_ceník_pravid_úklid'!$B$9:$I$30,8,0))</f>
        <v>0</v>
      </c>
      <c r="O9" s="20">
        <v>2</v>
      </c>
      <c r="P9" s="20">
        <v>1</v>
      </c>
      <c r="Q9" s="20">
        <v>0</v>
      </c>
      <c r="R9" s="20">
        <v>0</v>
      </c>
      <c r="S9" s="26">
        <f>NETWORKDAYS.INTL(DATE(2018,1,1),DATE(2018,12,31),1,{"2018/1/1";"2018/3/30";"2018/4/2";"2018/5/1";"2018/5/8";"2018/7/5";"2018/7/6";"2018/09/28";"2018/11/17";"2018/12/24";"2018/12/25";"2018/12/26"})</f>
        <v>250</v>
      </c>
      <c r="T9" s="26">
        <f t="shared" si="0"/>
        <v>115</v>
      </c>
      <c r="U9" s="26">
        <f t="shared" si="1"/>
        <v>365</v>
      </c>
      <c r="V9" s="88">
        <f t="shared" si="2"/>
        <v>500</v>
      </c>
      <c r="W9" s="155">
        <f t="shared" si="3"/>
        <v>0</v>
      </c>
      <c r="X9" s="600">
        <f t="shared" si="4"/>
        <v>0</v>
      </c>
      <c r="Y9" s="600">
        <v>0</v>
      </c>
    </row>
    <row r="10" spans="1:25" ht="15" customHeight="1" x14ac:dyDescent="0.2">
      <c r="A10" s="101" t="s">
        <v>293</v>
      </c>
      <c r="B10" s="23" t="s">
        <v>54</v>
      </c>
      <c r="C10" s="102" t="s">
        <v>236</v>
      </c>
      <c r="D10" s="85" t="str">
        <f>VLOOKUP(C10,'Seznam HS - nemaš'!$A$1:$B$96,2,FALSE)</f>
        <v>471700</v>
      </c>
      <c r="E10" s="22">
        <v>105</v>
      </c>
      <c r="F10" s="103" t="s">
        <v>297</v>
      </c>
      <c r="G10" s="767"/>
      <c r="H10" s="28">
        <f>+IF(ISBLANK(I10),0,VLOOKUP(I10,'8Příloha_2_ceník_pravid_úklid'!$B$9:$C$30,2,0))</f>
        <v>3</v>
      </c>
      <c r="I10" s="82" t="s">
        <v>3</v>
      </c>
      <c r="J10" s="104">
        <v>20.93</v>
      </c>
      <c r="K10" s="22" t="s">
        <v>51</v>
      </c>
      <c r="L10" s="86" t="s">
        <v>65</v>
      </c>
      <c r="M10" s="22" t="s">
        <v>49</v>
      </c>
      <c r="N10" s="19">
        <f>IF((VLOOKUP(I10,'8Příloha_2_ceník_pravid_úklid'!$B$9:$I$30,8,0))=0,VLOOKUP(I10,'8Příloha_2_ceník_pravid_úklid'!$B$9:$K$30,10,0),VLOOKUP(I10,'8Příloha_2_ceník_pravid_úklid'!$B$9:$I$30,8,0))</f>
        <v>0</v>
      </c>
      <c r="O10" s="20">
        <v>2</v>
      </c>
      <c r="P10" s="20">
        <v>1</v>
      </c>
      <c r="Q10" s="20">
        <v>0</v>
      </c>
      <c r="R10" s="20">
        <v>0</v>
      </c>
      <c r="S10" s="26">
        <f>NETWORKDAYS.INTL(DATE(2018,1,1),DATE(2018,12,31),1,{"2018/1/1";"2018/3/30";"2018/4/2";"2018/5/1";"2018/5/8";"2018/7/5";"2018/7/6";"2018/09/28";"2018/11/17";"2018/12/24";"2018/12/25";"2018/12/26"})</f>
        <v>250</v>
      </c>
      <c r="T10" s="26">
        <f t="shared" si="0"/>
        <v>115</v>
      </c>
      <c r="U10" s="26">
        <f t="shared" si="1"/>
        <v>365</v>
      </c>
      <c r="V10" s="88">
        <f t="shared" si="2"/>
        <v>500</v>
      </c>
      <c r="W10" s="155">
        <f t="shared" si="3"/>
        <v>0</v>
      </c>
      <c r="X10" s="600">
        <f t="shared" si="4"/>
        <v>0</v>
      </c>
      <c r="Y10" s="600">
        <v>0</v>
      </c>
    </row>
    <row r="11" spans="1:25" ht="15" customHeight="1" x14ac:dyDescent="0.2">
      <c r="A11" s="101" t="s">
        <v>293</v>
      </c>
      <c r="B11" s="23" t="s">
        <v>54</v>
      </c>
      <c r="C11" s="102" t="s">
        <v>234</v>
      </c>
      <c r="D11" s="85" t="str">
        <f>VLOOKUP(C11,'Seznam HS - nemaš'!$A$1:$B$96,2,FALSE)</f>
        <v>470700</v>
      </c>
      <c r="E11" s="22">
        <v>106</v>
      </c>
      <c r="F11" s="103" t="s">
        <v>298</v>
      </c>
      <c r="G11" s="767"/>
      <c r="H11" s="28">
        <f>+IF(ISBLANK(I11),0,VLOOKUP(I11,'8Příloha_2_ceník_pravid_úklid'!$B$9:$C$30,2,0))</f>
        <v>3</v>
      </c>
      <c r="I11" s="82" t="s">
        <v>3</v>
      </c>
      <c r="J11" s="104">
        <v>21.15</v>
      </c>
      <c r="K11" s="22" t="s">
        <v>51</v>
      </c>
      <c r="L11" s="86" t="s">
        <v>65</v>
      </c>
      <c r="M11" s="22" t="s">
        <v>49</v>
      </c>
      <c r="N11" s="19">
        <f>IF((VLOOKUP(I11,'8Příloha_2_ceník_pravid_úklid'!$B$9:$I$30,8,0))=0,VLOOKUP(I11,'8Příloha_2_ceník_pravid_úklid'!$B$9:$K$30,10,0),VLOOKUP(I11,'8Příloha_2_ceník_pravid_úklid'!$B$9:$I$30,8,0))</f>
        <v>0</v>
      </c>
      <c r="O11" s="20">
        <v>2</v>
      </c>
      <c r="P11" s="20">
        <v>1</v>
      </c>
      <c r="Q11" s="20">
        <v>0</v>
      </c>
      <c r="R11" s="20">
        <v>0</v>
      </c>
      <c r="S11" s="26">
        <f>NETWORKDAYS.INTL(DATE(2018,1,1),DATE(2018,12,31),1,{"2018/1/1";"2018/3/30";"2018/4/2";"2018/5/1";"2018/5/8";"2018/7/5";"2018/7/6";"2018/09/28";"2018/11/17";"2018/12/24";"2018/12/25";"2018/12/26"})</f>
        <v>250</v>
      </c>
      <c r="T11" s="26">
        <f t="shared" si="0"/>
        <v>115</v>
      </c>
      <c r="U11" s="26">
        <f t="shared" si="1"/>
        <v>365</v>
      </c>
      <c r="V11" s="88">
        <f t="shared" si="2"/>
        <v>500</v>
      </c>
      <c r="W11" s="155">
        <f t="shared" si="3"/>
        <v>0</v>
      </c>
      <c r="X11" s="600">
        <f t="shared" si="4"/>
        <v>0</v>
      </c>
      <c r="Y11" s="600">
        <v>0</v>
      </c>
    </row>
    <row r="12" spans="1:25" ht="15" customHeight="1" x14ac:dyDescent="0.2">
      <c r="A12" s="101" t="s">
        <v>293</v>
      </c>
      <c r="B12" s="23" t="s">
        <v>54</v>
      </c>
      <c r="C12" s="102" t="s">
        <v>236</v>
      </c>
      <c r="D12" s="85" t="str">
        <f>VLOOKUP(C12,'Seznam HS - nemaš'!$A$1:$B$96,2,FALSE)</f>
        <v>471700</v>
      </c>
      <c r="E12" s="22">
        <v>107</v>
      </c>
      <c r="F12" s="103" t="s">
        <v>299</v>
      </c>
      <c r="G12" s="767"/>
      <c r="H12" s="28">
        <f>+IF(ISBLANK(I12),0,VLOOKUP(I12,'8Příloha_2_ceník_pravid_úklid'!$B$9:$C$30,2,0))</f>
        <v>3</v>
      </c>
      <c r="I12" s="82" t="s">
        <v>3</v>
      </c>
      <c r="J12" s="104">
        <v>20.21</v>
      </c>
      <c r="K12" s="22" t="s">
        <v>51</v>
      </c>
      <c r="L12" s="86" t="s">
        <v>65</v>
      </c>
      <c r="M12" s="22" t="s">
        <v>49</v>
      </c>
      <c r="N12" s="19">
        <f>IF((VLOOKUP(I12,'8Příloha_2_ceník_pravid_úklid'!$B$9:$I$30,8,0))=0,VLOOKUP(I12,'8Příloha_2_ceník_pravid_úklid'!$B$9:$K$30,10,0),VLOOKUP(I12,'8Příloha_2_ceník_pravid_úklid'!$B$9:$I$30,8,0))</f>
        <v>0</v>
      </c>
      <c r="O12" s="20">
        <v>2</v>
      </c>
      <c r="P12" s="20">
        <v>1</v>
      </c>
      <c r="Q12" s="20">
        <v>0</v>
      </c>
      <c r="R12" s="20">
        <v>0</v>
      </c>
      <c r="S12" s="26">
        <f>NETWORKDAYS.INTL(DATE(2018,1,1),DATE(2018,12,31),1,{"2018/1/1";"2018/3/30";"2018/4/2";"2018/5/1";"2018/5/8";"2018/7/5";"2018/7/6";"2018/09/28";"2018/11/17";"2018/12/24";"2018/12/25";"2018/12/26"})</f>
        <v>250</v>
      </c>
      <c r="T12" s="26">
        <f t="shared" si="0"/>
        <v>115</v>
      </c>
      <c r="U12" s="26">
        <f t="shared" si="1"/>
        <v>365</v>
      </c>
      <c r="V12" s="88">
        <f t="shared" si="2"/>
        <v>500</v>
      </c>
      <c r="W12" s="155">
        <f t="shared" si="3"/>
        <v>0</v>
      </c>
      <c r="X12" s="600">
        <f t="shared" si="4"/>
        <v>0</v>
      </c>
      <c r="Y12" s="600">
        <v>0</v>
      </c>
    </row>
    <row r="13" spans="1:25" ht="15" customHeight="1" x14ac:dyDescent="0.2">
      <c r="A13" s="101" t="s">
        <v>293</v>
      </c>
      <c r="B13" s="23" t="s">
        <v>54</v>
      </c>
      <c r="C13" s="102" t="s">
        <v>234</v>
      </c>
      <c r="D13" s="85" t="str">
        <f>VLOOKUP(C13,'Seznam HS - nemaš'!$A$1:$B$96,2,FALSE)</f>
        <v>470700</v>
      </c>
      <c r="E13" s="22">
        <v>108</v>
      </c>
      <c r="F13" s="103" t="s">
        <v>300</v>
      </c>
      <c r="G13" s="767"/>
      <c r="H13" s="28">
        <f>+IF(ISBLANK(I13),0,VLOOKUP(I13,'8Příloha_2_ceník_pravid_úklid'!$B$9:$C$30,2,0))</f>
        <v>3</v>
      </c>
      <c r="I13" s="82" t="s">
        <v>3</v>
      </c>
      <c r="J13" s="104">
        <v>15.34</v>
      </c>
      <c r="K13" s="22" t="s">
        <v>51</v>
      </c>
      <c r="L13" s="86" t="s">
        <v>65</v>
      </c>
      <c r="M13" s="22" t="s">
        <v>49</v>
      </c>
      <c r="N13" s="19">
        <f>IF((VLOOKUP(I13,'8Příloha_2_ceník_pravid_úklid'!$B$9:$I$30,8,0))=0,VLOOKUP(I13,'8Příloha_2_ceník_pravid_úklid'!$B$9:$K$30,10,0),VLOOKUP(I13,'8Příloha_2_ceník_pravid_úklid'!$B$9:$I$30,8,0))</f>
        <v>0</v>
      </c>
      <c r="O13" s="20">
        <v>2</v>
      </c>
      <c r="P13" s="20">
        <v>1</v>
      </c>
      <c r="Q13" s="20">
        <v>0</v>
      </c>
      <c r="R13" s="20">
        <v>0</v>
      </c>
      <c r="S13" s="26">
        <f>NETWORKDAYS.INTL(DATE(2018,1,1),DATE(2018,12,31),1,{"2018/1/1";"2018/3/30";"2018/4/2";"2018/5/1";"2018/5/8";"2018/7/5";"2018/7/6";"2018/09/28";"2018/11/17";"2018/12/24";"2018/12/25";"2018/12/26"})</f>
        <v>250</v>
      </c>
      <c r="T13" s="26">
        <f t="shared" si="0"/>
        <v>115</v>
      </c>
      <c r="U13" s="26">
        <f t="shared" si="1"/>
        <v>365</v>
      </c>
      <c r="V13" s="88">
        <f t="shared" si="2"/>
        <v>500</v>
      </c>
      <c r="W13" s="155">
        <f t="shared" si="3"/>
        <v>0</v>
      </c>
      <c r="X13" s="600">
        <f t="shared" si="4"/>
        <v>0</v>
      </c>
      <c r="Y13" s="600">
        <v>0</v>
      </c>
    </row>
    <row r="14" spans="1:25" ht="15" customHeight="1" x14ac:dyDescent="0.2">
      <c r="A14" s="101" t="s">
        <v>293</v>
      </c>
      <c r="B14" s="23" t="s">
        <v>54</v>
      </c>
      <c r="C14" s="102" t="s">
        <v>234</v>
      </c>
      <c r="D14" s="85" t="str">
        <f>VLOOKUP(C14,'Seznam HS - nemaš'!$A$1:$B$96,2,FALSE)</f>
        <v>470700</v>
      </c>
      <c r="E14" s="22">
        <v>109</v>
      </c>
      <c r="F14" s="103" t="s">
        <v>301</v>
      </c>
      <c r="G14" s="767"/>
      <c r="H14" s="28">
        <f>+IF(ISBLANK(I14),0,VLOOKUP(I14,'8Příloha_2_ceník_pravid_úklid'!$B$9:$C$30,2,0))</f>
        <v>7</v>
      </c>
      <c r="I14" s="82" t="s">
        <v>14</v>
      </c>
      <c r="J14" s="104">
        <v>1.56</v>
      </c>
      <c r="K14" s="22" t="s">
        <v>50</v>
      </c>
      <c r="L14" s="86" t="s">
        <v>65</v>
      </c>
      <c r="M14" s="22" t="s">
        <v>49</v>
      </c>
      <c r="N14" s="19">
        <f>IF((VLOOKUP(I14,'8Příloha_2_ceník_pravid_úklid'!$B$9:$I$30,8,0))=0,VLOOKUP(I14,'8Příloha_2_ceník_pravid_úklid'!$B$9:$K$30,10,0),VLOOKUP(I14,'8Příloha_2_ceník_pravid_úklid'!$B$9:$I$30,8,0))</f>
        <v>0</v>
      </c>
      <c r="O14" s="20">
        <v>2</v>
      </c>
      <c r="P14" s="20">
        <v>1</v>
      </c>
      <c r="Q14" s="20">
        <v>0</v>
      </c>
      <c r="R14" s="20">
        <v>0</v>
      </c>
      <c r="S14" s="26">
        <f>NETWORKDAYS.INTL(DATE(2018,1,1),DATE(2018,12,31),1,{"2018/1/1";"2018/3/30";"2018/4/2";"2018/5/1";"2018/5/8";"2018/7/5";"2018/7/6";"2018/09/28";"2018/11/17";"2018/12/24";"2018/12/25";"2018/12/26"})</f>
        <v>250</v>
      </c>
      <c r="T14" s="26">
        <f t="shared" si="0"/>
        <v>115</v>
      </c>
      <c r="U14" s="26">
        <f t="shared" si="1"/>
        <v>365</v>
      </c>
      <c r="V14" s="88">
        <f t="shared" si="2"/>
        <v>500</v>
      </c>
      <c r="W14" s="155">
        <f t="shared" si="3"/>
        <v>0</v>
      </c>
      <c r="X14" s="600">
        <f t="shared" si="4"/>
        <v>0</v>
      </c>
      <c r="Y14" s="600">
        <v>0</v>
      </c>
    </row>
    <row r="15" spans="1:25" ht="15" customHeight="1" x14ac:dyDescent="0.2">
      <c r="A15" s="101" t="s">
        <v>293</v>
      </c>
      <c r="B15" s="23" t="s">
        <v>54</v>
      </c>
      <c r="C15" s="102" t="s">
        <v>236</v>
      </c>
      <c r="D15" s="85" t="str">
        <f>VLOOKUP(C15,'Seznam HS - nemaš'!$A$1:$B$96,2,FALSE)</f>
        <v>471700</v>
      </c>
      <c r="E15" s="22">
        <v>110</v>
      </c>
      <c r="F15" s="103" t="s">
        <v>70</v>
      </c>
      <c r="G15" s="767"/>
      <c r="H15" s="28">
        <f>+IF(ISBLANK(I15),0,VLOOKUP(I15,'8Příloha_2_ceník_pravid_úklid'!$B$9:$C$30,2,0))</f>
        <v>4</v>
      </c>
      <c r="I15" s="82" t="s">
        <v>9</v>
      </c>
      <c r="J15" s="104">
        <v>9.92</v>
      </c>
      <c r="K15" s="22" t="s">
        <v>52</v>
      </c>
      <c r="L15" s="86" t="s">
        <v>89</v>
      </c>
      <c r="M15" s="22" t="s">
        <v>49</v>
      </c>
      <c r="N15" s="19">
        <f>IF((VLOOKUP(I15,'8Příloha_2_ceník_pravid_úklid'!$B$9:$I$30,8,0))=0,VLOOKUP(I15,'8Příloha_2_ceník_pravid_úklid'!$B$9:$K$30,10,0),VLOOKUP(I15,'8Příloha_2_ceník_pravid_úklid'!$B$9:$I$30,8,0))</f>
        <v>0</v>
      </c>
      <c r="O15" s="20">
        <v>1</v>
      </c>
      <c r="P15" s="20">
        <v>1</v>
      </c>
      <c r="Q15" s="20">
        <v>0</v>
      </c>
      <c r="R15" s="20">
        <v>0</v>
      </c>
      <c r="S15" s="26">
        <f>NETWORKDAYS.INTL(DATE(2018,1,1),DATE(2018,12,31),1,{"2018/1/1";"2018/3/30";"2018/4/2";"2018/5/1";"2018/5/8";"2018/7/5";"2018/7/6";"2018/09/28";"2018/11/17";"2018/12/24";"2018/12/25";"2018/12/26"})</f>
        <v>250</v>
      </c>
      <c r="T15" s="26">
        <f t="shared" si="0"/>
        <v>115</v>
      </c>
      <c r="U15" s="26">
        <f t="shared" si="1"/>
        <v>365</v>
      </c>
      <c r="V15" s="88">
        <f t="shared" si="2"/>
        <v>250</v>
      </c>
      <c r="W15" s="155">
        <f t="shared" si="3"/>
        <v>0</v>
      </c>
      <c r="X15" s="600">
        <f t="shared" si="4"/>
        <v>0</v>
      </c>
      <c r="Y15" s="600">
        <v>0</v>
      </c>
    </row>
    <row r="16" spans="1:25" ht="15" customHeight="1" x14ac:dyDescent="0.2">
      <c r="A16" s="101" t="s">
        <v>293</v>
      </c>
      <c r="B16" s="23" t="s">
        <v>54</v>
      </c>
      <c r="C16" s="102" t="s">
        <v>236</v>
      </c>
      <c r="D16" s="85" t="str">
        <f>VLOOKUP(C16,'Seznam HS - nemaš'!$A$1:$B$96,2,FALSE)</f>
        <v>471700</v>
      </c>
      <c r="E16" s="22">
        <v>111</v>
      </c>
      <c r="F16" s="103" t="s">
        <v>302</v>
      </c>
      <c r="G16" s="767"/>
      <c r="H16" s="28">
        <f>+IF(ISBLANK(I16),0,VLOOKUP(I16,'8Příloha_2_ceník_pravid_úklid'!$B$9:$C$30,2,0))</f>
        <v>10</v>
      </c>
      <c r="I16" s="82" t="s">
        <v>0</v>
      </c>
      <c r="J16" s="104">
        <v>9.48</v>
      </c>
      <c r="K16" s="22" t="s">
        <v>51</v>
      </c>
      <c r="L16" s="86" t="s">
        <v>89</v>
      </c>
      <c r="M16" s="22" t="s">
        <v>49</v>
      </c>
      <c r="N16" s="19">
        <f>IF((VLOOKUP(I16,'8Příloha_2_ceník_pravid_úklid'!$B$9:$I$30,8,0))=0,VLOOKUP(I16,'8Příloha_2_ceník_pravid_úklid'!$B$9:$K$30,10,0),VLOOKUP(I16,'8Příloha_2_ceník_pravid_úklid'!$B$9:$I$30,8,0))</f>
        <v>0</v>
      </c>
      <c r="O16" s="20">
        <v>1</v>
      </c>
      <c r="P16" s="20">
        <v>1</v>
      </c>
      <c r="Q16" s="20">
        <v>0</v>
      </c>
      <c r="R16" s="20">
        <v>0</v>
      </c>
      <c r="S16" s="26">
        <f>NETWORKDAYS.INTL(DATE(2018,1,1),DATE(2018,12,31),1,{"2018/1/1";"2018/3/30";"2018/4/2";"2018/5/1";"2018/5/8";"2018/7/5";"2018/7/6";"2018/09/28";"2018/11/17";"2018/12/24";"2018/12/25";"2018/12/26"})</f>
        <v>250</v>
      </c>
      <c r="T16" s="26">
        <f t="shared" si="0"/>
        <v>115</v>
      </c>
      <c r="U16" s="26">
        <f t="shared" si="1"/>
        <v>365</v>
      </c>
      <c r="V16" s="88">
        <f t="shared" si="2"/>
        <v>250</v>
      </c>
      <c r="W16" s="155">
        <f t="shared" si="3"/>
        <v>0</v>
      </c>
      <c r="X16" s="600">
        <f t="shared" si="4"/>
        <v>0</v>
      </c>
      <c r="Y16" s="600">
        <v>0</v>
      </c>
    </row>
    <row r="17" spans="1:25" ht="15" customHeight="1" x14ac:dyDescent="0.2">
      <c r="A17" s="101" t="s">
        <v>293</v>
      </c>
      <c r="B17" s="23" t="s">
        <v>54</v>
      </c>
      <c r="C17" s="102" t="s">
        <v>234</v>
      </c>
      <c r="D17" s="85" t="str">
        <f>VLOOKUP(C17,'Seznam HS - nemaš'!$A$1:$B$96,2,FALSE)</f>
        <v>470700</v>
      </c>
      <c r="E17" s="22">
        <v>112</v>
      </c>
      <c r="F17" s="103" t="s">
        <v>303</v>
      </c>
      <c r="G17" s="767"/>
      <c r="H17" s="28">
        <f>+IF(ISBLANK(I17),0,VLOOKUP(I17,'8Příloha_2_ceník_pravid_úklid'!$B$9:$C$30,2,0))</f>
        <v>7</v>
      </c>
      <c r="I17" s="82" t="s">
        <v>14</v>
      </c>
      <c r="J17" s="104">
        <v>1.68</v>
      </c>
      <c r="K17" s="22" t="s">
        <v>50</v>
      </c>
      <c r="L17" s="86" t="s">
        <v>324</v>
      </c>
      <c r="M17" s="22" t="s">
        <v>49</v>
      </c>
      <c r="N17" s="19">
        <f>IF((VLOOKUP(I17,'8Příloha_2_ceník_pravid_úklid'!$B$9:$I$30,8,0))=0,VLOOKUP(I17,'8Příloha_2_ceník_pravid_úklid'!$B$9:$K$30,10,0),VLOOKUP(I17,'8Příloha_2_ceník_pravid_úklid'!$B$9:$I$30,8,0))</f>
        <v>0</v>
      </c>
      <c r="O17" s="20">
        <v>1</v>
      </c>
      <c r="P17" s="20">
        <f>1/5</f>
        <v>0.2</v>
      </c>
      <c r="Q17" s="20">
        <v>0</v>
      </c>
      <c r="R17" s="20">
        <v>0</v>
      </c>
      <c r="S17" s="26">
        <f>NETWORKDAYS.INTL(DATE(2018,1,1),DATE(2018,12,31),1,{"2018/1/1";"2018/3/30";"2018/4/2";"2018/5/1";"2018/5/8";"2018/7/5";"2018/7/6";"2018/09/28";"2018/11/17";"2018/12/24";"2018/12/25";"2018/12/26"})</f>
        <v>250</v>
      </c>
      <c r="T17" s="26">
        <f t="shared" si="0"/>
        <v>115</v>
      </c>
      <c r="U17" s="26">
        <f t="shared" si="1"/>
        <v>365</v>
      </c>
      <c r="V17" s="88">
        <f t="shared" si="2"/>
        <v>50</v>
      </c>
      <c r="W17" s="155">
        <f t="shared" si="3"/>
        <v>0</v>
      </c>
      <c r="X17" s="600">
        <f t="shared" si="4"/>
        <v>0</v>
      </c>
      <c r="Y17" s="600">
        <v>0</v>
      </c>
    </row>
    <row r="18" spans="1:25" ht="15" customHeight="1" x14ac:dyDescent="0.2">
      <c r="A18" s="101" t="s">
        <v>293</v>
      </c>
      <c r="B18" s="23" t="s">
        <v>54</v>
      </c>
      <c r="C18" s="102" t="s">
        <v>234</v>
      </c>
      <c r="D18" s="85" t="str">
        <f>VLOOKUP(C18,'Seznam HS - nemaš'!$A$1:$B$96,2,FALSE)</f>
        <v>470700</v>
      </c>
      <c r="E18" s="22">
        <v>113</v>
      </c>
      <c r="F18" s="103" t="s">
        <v>304</v>
      </c>
      <c r="G18" s="767"/>
      <c r="H18" s="28">
        <f>+IF(ISBLANK(I18),0,VLOOKUP(I18,'8Příloha_2_ceník_pravid_úklid'!$B$9:$C$30,2,0))</f>
        <v>7</v>
      </c>
      <c r="I18" s="82" t="s">
        <v>14</v>
      </c>
      <c r="J18" s="104">
        <v>1.56</v>
      </c>
      <c r="K18" s="22" t="s">
        <v>50</v>
      </c>
      <c r="L18" s="86" t="s">
        <v>65</v>
      </c>
      <c r="M18" s="22" t="s">
        <v>49</v>
      </c>
      <c r="N18" s="19">
        <f>IF((VLOOKUP(I18,'8Příloha_2_ceník_pravid_úklid'!$B$9:$I$30,8,0))=0,VLOOKUP(I18,'8Příloha_2_ceník_pravid_úklid'!$B$9:$K$30,10,0),VLOOKUP(I18,'8Příloha_2_ceník_pravid_úklid'!$B$9:$I$30,8,0))</f>
        <v>0</v>
      </c>
      <c r="O18" s="20">
        <v>2</v>
      </c>
      <c r="P18" s="20">
        <v>1</v>
      </c>
      <c r="Q18" s="20">
        <v>0</v>
      </c>
      <c r="R18" s="20">
        <v>0</v>
      </c>
      <c r="S18" s="26">
        <f>NETWORKDAYS.INTL(DATE(2018,1,1),DATE(2018,12,31),1,{"2018/1/1";"2018/3/30";"2018/4/2";"2018/5/1";"2018/5/8";"2018/7/5";"2018/7/6";"2018/09/28";"2018/11/17";"2018/12/24";"2018/12/25";"2018/12/26"})</f>
        <v>250</v>
      </c>
      <c r="T18" s="26">
        <f t="shared" si="0"/>
        <v>115</v>
      </c>
      <c r="U18" s="26">
        <f t="shared" si="1"/>
        <v>365</v>
      </c>
      <c r="V18" s="88">
        <f t="shared" si="2"/>
        <v>500</v>
      </c>
      <c r="W18" s="155">
        <f t="shared" si="3"/>
        <v>0</v>
      </c>
      <c r="X18" s="600">
        <f t="shared" si="4"/>
        <v>0</v>
      </c>
      <c r="Y18" s="600">
        <v>0</v>
      </c>
    </row>
    <row r="19" spans="1:25" ht="15" customHeight="1" x14ac:dyDescent="0.2">
      <c r="A19" s="101" t="s">
        <v>293</v>
      </c>
      <c r="B19" s="23" t="s">
        <v>54</v>
      </c>
      <c r="C19" s="102" t="s">
        <v>234</v>
      </c>
      <c r="D19" s="85" t="str">
        <f>VLOOKUP(C19,'Seznam HS - nemaš'!$A$1:$B$96,2,FALSE)</f>
        <v>470700</v>
      </c>
      <c r="E19" s="22">
        <v>114</v>
      </c>
      <c r="F19" s="103" t="s">
        <v>305</v>
      </c>
      <c r="G19" s="767"/>
      <c r="H19" s="28">
        <f>+IF(ISBLANK(I19),0,VLOOKUP(I19,'8Příloha_2_ceník_pravid_úklid'!$B$9:$C$30,2,0))</f>
        <v>7</v>
      </c>
      <c r="I19" s="82" t="s">
        <v>14</v>
      </c>
      <c r="J19" s="104">
        <v>1.44</v>
      </c>
      <c r="K19" s="22" t="s">
        <v>50</v>
      </c>
      <c r="L19" s="86" t="s">
        <v>65</v>
      </c>
      <c r="M19" s="22" t="s">
        <v>49</v>
      </c>
      <c r="N19" s="19">
        <f>IF((VLOOKUP(I19,'8Příloha_2_ceník_pravid_úklid'!$B$9:$I$30,8,0))=0,VLOOKUP(I19,'8Příloha_2_ceník_pravid_úklid'!$B$9:$K$30,10,0),VLOOKUP(I19,'8Příloha_2_ceník_pravid_úklid'!$B$9:$I$30,8,0))</f>
        <v>0</v>
      </c>
      <c r="O19" s="20">
        <v>2</v>
      </c>
      <c r="P19" s="20">
        <v>1</v>
      </c>
      <c r="Q19" s="20">
        <v>0</v>
      </c>
      <c r="R19" s="20">
        <v>0</v>
      </c>
      <c r="S19" s="26">
        <f>NETWORKDAYS.INTL(DATE(2018,1,1),DATE(2018,12,31),1,{"2018/1/1";"2018/3/30";"2018/4/2";"2018/5/1";"2018/5/8";"2018/7/5";"2018/7/6";"2018/09/28";"2018/11/17";"2018/12/24";"2018/12/25";"2018/12/26"})</f>
        <v>250</v>
      </c>
      <c r="T19" s="26">
        <f t="shared" si="0"/>
        <v>115</v>
      </c>
      <c r="U19" s="26">
        <f t="shared" si="1"/>
        <v>365</v>
      </c>
      <c r="V19" s="88">
        <f t="shared" si="2"/>
        <v>500</v>
      </c>
      <c r="W19" s="155">
        <f t="shared" si="3"/>
        <v>0</v>
      </c>
      <c r="X19" s="600">
        <f t="shared" si="4"/>
        <v>0</v>
      </c>
      <c r="Y19" s="600">
        <v>0</v>
      </c>
    </row>
    <row r="20" spans="1:25" ht="15" customHeight="1" x14ac:dyDescent="0.2">
      <c r="A20" s="101" t="s">
        <v>293</v>
      </c>
      <c r="B20" s="23" t="s">
        <v>54</v>
      </c>
      <c r="C20" s="102" t="s">
        <v>236</v>
      </c>
      <c r="D20" s="85" t="str">
        <f>VLOOKUP(C20,'Seznam HS - nemaš'!$A$1:$B$96,2,FALSE)</f>
        <v>471700</v>
      </c>
      <c r="E20" s="22">
        <v>115</v>
      </c>
      <c r="F20" s="103" t="s">
        <v>306</v>
      </c>
      <c r="G20" s="767"/>
      <c r="H20" s="28">
        <f>+IF(ISBLANK(I20),0,VLOOKUP(I20,'8Příloha_2_ceník_pravid_úklid'!$B$9:$C$30,2,0))</f>
        <v>7</v>
      </c>
      <c r="I20" s="82" t="s">
        <v>14</v>
      </c>
      <c r="J20" s="104">
        <v>1.56</v>
      </c>
      <c r="K20" s="22" t="s">
        <v>50</v>
      </c>
      <c r="L20" s="86" t="s">
        <v>65</v>
      </c>
      <c r="M20" s="22" t="s">
        <v>49</v>
      </c>
      <c r="N20" s="19">
        <f>IF((VLOOKUP(I20,'8Příloha_2_ceník_pravid_úklid'!$B$9:$I$30,8,0))=0,VLOOKUP(I20,'8Příloha_2_ceník_pravid_úklid'!$B$9:$K$30,10,0),VLOOKUP(I20,'8Příloha_2_ceník_pravid_úklid'!$B$9:$I$30,8,0))</f>
        <v>0</v>
      </c>
      <c r="O20" s="20">
        <v>2</v>
      </c>
      <c r="P20" s="20">
        <v>1</v>
      </c>
      <c r="Q20" s="20">
        <v>0</v>
      </c>
      <c r="R20" s="20">
        <v>0</v>
      </c>
      <c r="S20" s="26">
        <f>NETWORKDAYS.INTL(DATE(2018,1,1),DATE(2018,12,31),1,{"2018/1/1";"2018/3/30";"2018/4/2";"2018/5/1";"2018/5/8";"2018/7/5";"2018/7/6";"2018/09/28";"2018/11/17";"2018/12/24";"2018/12/25";"2018/12/26"})</f>
        <v>250</v>
      </c>
      <c r="T20" s="26">
        <f t="shared" si="0"/>
        <v>115</v>
      </c>
      <c r="U20" s="26">
        <f t="shared" si="1"/>
        <v>365</v>
      </c>
      <c r="V20" s="88">
        <f t="shared" si="2"/>
        <v>500</v>
      </c>
      <c r="W20" s="155">
        <f t="shared" si="3"/>
        <v>0</v>
      </c>
      <c r="X20" s="600">
        <f t="shared" si="4"/>
        <v>0</v>
      </c>
      <c r="Y20" s="600">
        <v>0</v>
      </c>
    </row>
    <row r="21" spans="1:25" ht="15" customHeight="1" x14ac:dyDescent="0.2">
      <c r="A21" s="101" t="s">
        <v>293</v>
      </c>
      <c r="B21" s="23" t="s">
        <v>54</v>
      </c>
      <c r="C21" s="102" t="s">
        <v>236</v>
      </c>
      <c r="D21" s="85" t="str">
        <f>VLOOKUP(C21,'Seznam HS - nemaš'!$A$1:$B$96,2,FALSE)</f>
        <v>471700</v>
      </c>
      <c r="E21" s="22">
        <v>116</v>
      </c>
      <c r="F21" s="103" t="s">
        <v>307</v>
      </c>
      <c r="G21" s="767"/>
      <c r="H21" s="28">
        <f>+IF(ISBLANK(I21),0,VLOOKUP(I21,'8Příloha_2_ceník_pravid_úklid'!$B$9:$C$30,2,0))</f>
        <v>7</v>
      </c>
      <c r="I21" s="82" t="s">
        <v>14</v>
      </c>
      <c r="J21" s="104">
        <v>1.44</v>
      </c>
      <c r="K21" s="22" t="s">
        <v>50</v>
      </c>
      <c r="L21" s="86" t="s">
        <v>65</v>
      </c>
      <c r="M21" s="22" t="s">
        <v>49</v>
      </c>
      <c r="N21" s="19">
        <f>IF((VLOOKUP(I21,'8Příloha_2_ceník_pravid_úklid'!$B$9:$I$30,8,0))=0,VLOOKUP(I21,'8Příloha_2_ceník_pravid_úklid'!$B$9:$K$30,10,0),VLOOKUP(I21,'8Příloha_2_ceník_pravid_úklid'!$B$9:$I$30,8,0))</f>
        <v>0</v>
      </c>
      <c r="O21" s="20">
        <v>2</v>
      </c>
      <c r="P21" s="20">
        <v>1</v>
      </c>
      <c r="Q21" s="20">
        <v>0</v>
      </c>
      <c r="R21" s="20">
        <v>0</v>
      </c>
      <c r="S21" s="26">
        <f>NETWORKDAYS.INTL(DATE(2018,1,1),DATE(2018,12,31),1,{"2018/1/1";"2018/3/30";"2018/4/2";"2018/5/1";"2018/5/8";"2018/7/5";"2018/7/6";"2018/09/28";"2018/11/17";"2018/12/24";"2018/12/25";"2018/12/26"})</f>
        <v>250</v>
      </c>
      <c r="T21" s="26">
        <f t="shared" si="0"/>
        <v>115</v>
      </c>
      <c r="U21" s="26">
        <f t="shared" si="1"/>
        <v>365</v>
      </c>
      <c r="V21" s="88">
        <f t="shared" si="2"/>
        <v>500</v>
      </c>
      <c r="W21" s="155">
        <f t="shared" si="3"/>
        <v>0</v>
      </c>
      <c r="X21" s="600">
        <f t="shared" si="4"/>
        <v>0</v>
      </c>
      <c r="Y21" s="600">
        <v>0</v>
      </c>
    </row>
    <row r="22" spans="1:25" ht="15" customHeight="1" x14ac:dyDescent="0.2">
      <c r="A22" s="101" t="s">
        <v>293</v>
      </c>
      <c r="B22" s="23" t="s">
        <v>54</v>
      </c>
      <c r="C22" s="102" t="s">
        <v>234</v>
      </c>
      <c r="D22" s="85" t="str">
        <f>VLOOKUP(C22,'Seznam HS - nemaš'!$A$1:$B$96,2,FALSE)</f>
        <v>470700</v>
      </c>
      <c r="E22" s="22">
        <v>117</v>
      </c>
      <c r="F22" s="103" t="s">
        <v>308</v>
      </c>
      <c r="G22" s="767"/>
      <c r="H22" s="28">
        <f>+IF(ISBLANK(I22),0,VLOOKUP(I22,'8Příloha_2_ceník_pravid_úklid'!$B$9:$C$30,2,0))</f>
        <v>17</v>
      </c>
      <c r="I22" s="82" t="s">
        <v>13</v>
      </c>
      <c r="J22" s="104">
        <v>25.71</v>
      </c>
      <c r="K22" s="22" t="s">
        <v>50</v>
      </c>
      <c r="L22" s="86" t="s">
        <v>65</v>
      </c>
      <c r="M22" s="22" t="s">
        <v>49</v>
      </c>
      <c r="N22" s="19">
        <f>IF((VLOOKUP(I22,'8Příloha_2_ceník_pravid_úklid'!$B$9:$I$30,8,0))=0,VLOOKUP(I22,'8Příloha_2_ceník_pravid_úklid'!$B$9:$K$30,10,0),VLOOKUP(I22,'8Příloha_2_ceník_pravid_úklid'!$B$9:$I$30,8,0))</f>
        <v>0</v>
      </c>
      <c r="O22" s="20">
        <v>2</v>
      </c>
      <c r="P22" s="20">
        <v>1</v>
      </c>
      <c r="Q22" s="20">
        <v>0</v>
      </c>
      <c r="R22" s="20">
        <v>0</v>
      </c>
      <c r="S22" s="26">
        <f>NETWORKDAYS.INTL(DATE(2018,1,1),DATE(2018,12,31),1,{"2018/1/1";"2018/3/30";"2018/4/2";"2018/5/1";"2018/5/8";"2018/7/5";"2018/7/6";"2018/09/28";"2018/11/17";"2018/12/24";"2018/12/25";"2018/12/26"})</f>
        <v>250</v>
      </c>
      <c r="T22" s="26">
        <f t="shared" si="0"/>
        <v>115</v>
      </c>
      <c r="U22" s="26">
        <f t="shared" si="1"/>
        <v>365</v>
      </c>
      <c r="V22" s="88">
        <f t="shared" si="2"/>
        <v>500</v>
      </c>
      <c r="W22" s="601">
        <f t="shared" si="3"/>
        <v>0</v>
      </c>
      <c r="X22" s="602">
        <f t="shared" si="4"/>
        <v>0</v>
      </c>
      <c r="Y22" s="600">
        <v>0</v>
      </c>
    </row>
    <row r="23" spans="1:25" ht="15" customHeight="1" x14ac:dyDescent="0.2">
      <c r="A23" s="101" t="s">
        <v>293</v>
      </c>
      <c r="B23" s="23" t="s">
        <v>54</v>
      </c>
      <c r="C23" s="102" t="s">
        <v>234</v>
      </c>
      <c r="D23" s="85" t="str">
        <f>VLOOKUP(C23,'Seznam HS - nemaš'!$A$1:$B$96,2,FALSE)</f>
        <v>470700</v>
      </c>
      <c r="E23" s="22">
        <v>118</v>
      </c>
      <c r="F23" s="103" t="s">
        <v>309</v>
      </c>
      <c r="G23" s="767"/>
      <c r="H23" s="28">
        <f>+IF(ISBLANK(I23),0,VLOOKUP(I23,'8Příloha_2_ceník_pravid_úklid'!$B$9:$C$30,2,0))</f>
        <v>17</v>
      </c>
      <c r="I23" s="82" t="s">
        <v>13</v>
      </c>
      <c r="J23" s="104">
        <v>15.24</v>
      </c>
      <c r="K23" s="22" t="s">
        <v>50</v>
      </c>
      <c r="L23" s="86" t="s">
        <v>65</v>
      </c>
      <c r="M23" s="22" t="s">
        <v>49</v>
      </c>
      <c r="N23" s="19">
        <f>IF((VLOOKUP(I23,'8Příloha_2_ceník_pravid_úklid'!$B$9:$I$30,8,0))=0,VLOOKUP(I23,'8Příloha_2_ceník_pravid_úklid'!$B$9:$K$30,10,0),VLOOKUP(I23,'8Příloha_2_ceník_pravid_úklid'!$B$9:$I$30,8,0))</f>
        <v>0</v>
      </c>
      <c r="O23" s="20">
        <v>2</v>
      </c>
      <c r="P23" s="20">
        <v>1</v>
      </c>
      <c r="Q23" s="20">
        <v>0</v>
      </c>
      <c r="R23" s="20">
        <v>0</v>
      </c>
      <c r="S23" s="26">
        <f>NETWORKDAYS.INTL(DATE(2018,1,1),DATE(2018,12,31),1,{"2018/1/1";"2018/3/30";"2018/4/2";"2018/5/1";"2018/5/8";"2018/7/5";"2018/7/6";"2018/09/28";"2018/11/17";"2018/12/24";"2018/12/25";"2018/12/26"})</f>
        <v>250</v>
      </c>
      <c r="T23" s="26">
        <f t="shared" si="0"/>
        <v>115</v>
      </c>
      <c r="U23" s="26">
        <f t="shared" si="1"/>
        <v>365</v>
      </c>
      <c r="V23" s="88">
        <f t="shared" si="2"/>
        <v>500</v>
      </c>
      <c r="W23" s="601">
        <f t="shared" si="3"/>
        <v>0</v>
      </c>
      <c r="X23" s="602">
        <f t="shared" si="4"/>
        <v>0</v>
      </c>
      <c r="Y23" s="600">
        <v>0</v>
      </c>
    </row>
    <row r="24" spans="1:25" ht="15" customHeight="1" x14ac:dyDescent="0.2">
      <c r="A24" s="101" t="s">
        <v>293</v>
      </c>
      <c r="B24" s="23" t="s">
        <v>54</v>
      </c>
      <c r="C24" s="102" t="s">
        <v>236</v>
      </c>
      <c r="D24" s="85" t="str">
        <f>VLOOKUP(C24,'Seznam HS - nemaš'!$A$1:$B$96,2,FALSE)</f>
        <v>471700</v>
      </c>
      <c r="E24" s="22">
        <v>119</v>
      </c>
      <c r="F24" s="103" t="s">
        <v>310</v>
      </c>
      <c r="G24" s="767"/>
      <c r="H24" s="28">
        <f>+IF(ISBLANK(I24),0,VLOOKUP(I24,'8Příloha_2_ceník_pravid_úklid'!$B$9:$C$30,2,0))</f>
        <v>6</v>
      </c>
      <c r="I24" s="82" t="s">
        <v>1</v>
      </c>
      <c r="J24" s="104">
        <v>2.75</v>
      </c>
      <c r="K24" s="22" t="s">
        <v>50</v>
      </c>
      <c r="L24" s="86" t="s">
        <v>324</v>
      </c>
      <c r="M24" s="22" t="s">
        <v>49</v>
      </c>
      <c r="N24" s="19">
        <f>IF((VLOOKUP(I24,'8Příloha_2_ceník_pravid_úklid'!$B$9:$I$30,8,0))=0,VLOOKUP(I24,'8Příloha_2_ceník_pravid_úklid'!$B$9:$K$30,10,0),VLOOKUP(I24,'8Příloha_2_ceník_pravid_úklid'!$B$9:$I$30,8,0))</f>
        <v>0</v>
      </c>
      <c r="O24" s="20">
        <v>1</v>
      </c>
      <c r="P24" s="20">
        <f>1/5</f>
        <v>0.2</v>
      </c>
      <c r="Q24" s="20">
        <v>0</v>
      </c>
      <c r="R24" s="20">
        <v>0</v>
      </c>
      <c r="S24" s="26">
        <f>NETWORKDAYS.INTL(DATE(2018,1,1),DATE(2018,12,31),1,{"2018/1/1";"2018/3/30";"2018/4/2";"2018/5/1";"2018/5/8";"2018/7/5";"2018/7/6";"2018/09/28";"2018/11/17";"2018/12/24";"2018/12/25";"2018/12/26"})</f>
        <v>250</v>
      </c>
      <c r="T24" s="26">
        <f t="shared" si="0"/>
        <v>115</v>
      </c>
      <c r="U24" s="26">
        <f t="shared" si="1"/>
        <v>365</v>
      </c>
      <c r="V24" s="88">
        <f t="shared" si="2"/>
        <v>50</v>
      </c>
      <c r="W24" s="601">
        <f t="shared" si="3"/>
        <v>0</v>
      </c>
      <c r="X24" s="602">
        <f t="shared" si="4"/>
        <v>0</v>
      </c>
      <c r="Y24" s="600">
        <v>0</v>
      </c>
    </row>
    <row r="25" spans="1:25" ht="15" customHeight="1" x14ac:dyDescent="0.2">
      <c r="A25" s="101" t="s">
        <v>293</v>
      </c>
      <c r="B25" s="23" t="s">
        <v>54</v>
      </c>
      <c r="C25" s="102" t="s">
        <v>234</v>
      </c>
      <c r="D25" s="85" t="str">
        <f>VLOOKUP(C25,'Seznam HS - nemaš'!$A$1:$B$96,2,FALSE)</f>
        <v>470700</v>
      </c>
      <c r="E25" s="22">
        <v>120</v>
      </c>
      <c r="F25" s="103" t="s">
        <v>311</v>
      </c>
      <c r="G25" s="767"/>
      <c r="H25" s="28">
        <f>+IF(ISBLANK(I25),0,VLOOKUP(I25,'8Příloha_2_ceník_pravid_úklid'!$B$9:$C$30,2,0))</f>
        <v>17</v>
      </c>
      <c r="I25" s="82" t="s">
        <v>13</v>
      </c>
      <c r="J25" s="104">
        <v>15.4</v>
      </c>
      <c r="K25" s="22" t="s">
        <v>50</v>
      </c>
      <c r="L25" s="86" t="s">
        <v>65</v>
      </c>
      <c r="M25" s="22" t="s">
        <v>49</v>
      </c>
      <c r="N25" s="19">
        <f>IF((VLOOKUP(I25,'8Příloha_2_ceník_pravid_úklid'!$B$9:$I$30,8,0))=0,VLOOKUP(I25,'8Příloha_2_ceník_pravid_úklid'!$B$9:$K$30,10,0),VLOOKUP(I25,'8Příloha_2_ceník_pravid_úklid'!$B$9:$I$30,8,0))</f>
        <v>0</v>
      </c>
      <c r="O25" s="20">
        <v>2</v>
      </c>
      <c r="P25" s="20">
        <v>1</v>
      </c>
      <c r="Q25" s="20">
        <v>0</v>
      </c>
      <c r="R25" s="20">
        <v>0</v>
      </c>
      <c r="S25" s="26">
        <f>NETWORKDAYS.INTL(DATE(2018,1,1),DATE(2018,12,31),1,{"2018/1/1";"2018/3/30";"2018/4/2";"2018/5/1";"2018/5/8";"2018/7/5";"2018/7/6";"2018/09/28";"2018/11/17";"2018/12/24";"2018/12/25";"2018/12/26"})</f>
        <v>250</v>
      </c>
      <c r="T25" s="26">
        <f t="shared" si="0"/>
        <v>115</v>
      </c>
      <c r="U25" s="26">
        <f t="shared" si="1"/>
        <v>365</v>
      </c>
      <c r="V25" s="88">
        <f t="shared" si="2"/>
        <v>500</v>
      </c>
      <c r="W25" s="155">
        <f t="shared" si="3"/>
        <v>0</v>
      </c>
      <c r="X25" s="600">
        <f t="shared" si="4"/>
        <v>0</v>
      </c>
      <c r="Y25" s="600">
        <v>0</v>
      </c>
    </row>
    <row r="26" spans="1:25" ht="15.75" customHeight="1" thickBot="1" x14ac:dyDescent="0.25">
      <c r="A26" s="105" t="s">
        <v>293</v>
      </c>
      <c r="B26" s="100" t="s">
        <v>54</v>
      </c>
      <c r="C26" s="106" t="s">
        <v>234</v>
      </c>
      <c r="D26" s="107" t="str">
        <f>VLOOKUP(C26,'Seznam HS - nemaš'!$A$1:$B$96,2,FALSE)</f>
        <v>470700</v>
      </c>
      <c r="E26" s="94">
        <v>121</v>
      </c>
      <c r="F26" s="108" t="s">
        <v>312</v>
      </c>
      <c r="G26" s="768"/>
      <c r="H26" s="91">
        <f>+IF(ISBLANK(I26),0,VLOOKUP(I26,'8Příloha_2_ceník_pravid_úklid'!$B$9:$C$30,2,0))</f>
        <v>17</v>
      </c>
      <c r="I26" s="92" t="s">
        <v>13</v>
      </c>
      <c r="J26" s="109">
        <v>10.050000000000001</v>
      </c>
      <c r="K26" s="94" t="s">
        <v>50</v>
      </c>
      <c r="L26" s="93" t="s">
        <v>65</v>
      </c>
      <c r="M26" s="94" t="s">
        <v>49</v>
      </c>
      <c r="N26" s="95">
        <f>IF((VLOOKUP(I26,'8Příloha_2_ceník_pravid_úklid'!$B$9:$I$30,8,0))=0,VLOOKUP(I26,'8Příloha_2_ceník_pravid_úklid'!$B$9:$K$30,10,0),VLOOKUP(I26,'8Příloha_2_ceník_pravid_úklid'!$B$9:$I$30,8,0))</f>
        <v>0</v>
      </c>
      <c r="O26" s="96">
        <v>2</v>
      </c>
      <c r="P26" s="96">
        <v>1</v>
      </c>
      <c r="Q26" s="96">
        <v>0</v>
      </c>
      <c r="R26" s="96">
        <v>0</v>
      </c>
      <c r="S26" s="97">
        <f>NETWORKDAYS.INTL(DATE(2018,1,1),DATE(2018,12,31),1,{"2018/1/1";"2018/3/30";"2018/4/2";"2018/5/1";"2018/5/8";"2018/7/5";"2018/7/6";"2018/09/28";"2018/11/17";"2018/12/24";"2018/12/25";"2018/12/26"})</f>
        <v>250</v>
      </c>
      <c r="T26" s="97">
        <f t="shared" si="0"/>
        <v>115</v>
      </c>
      <c r="U26" s="97">
        <f t="shared" si="1"/>
        <v>365</v>
      </c>
      <c r="V26" s="98">
        <f t="shared" si="2"/>
        <v>500</v>
      </c>
      <c r="W26" s="603">
        <f t="shared" si="3"/>
        <v>0</v>
      </c>
      <c r="X26" s="604">
        <f t="shared" si="4"/>
        <v>0</v>
      </c>
      <c r="Y26" s="605">
        <v>0</v>
      </c>
    </row>
    <row r="27" spans="1:25" x14ac:dyDescent="0.2">
      <c r="C27" s="79"/>
      <c r="I27" s="79"/>
      <c r="J27" s="78"/>
      <c r="L27" s="79"/>
    </row>
  </sheetData>
  <sheetProtection password="CA8C" sheet="1" objects="1" scenarios="1" formatCells="0" formatColumns="0" formatRows="0" autoFilter="0"/>
  <autoFilter ref="A5:X5"/>
  <mergeCells count="25">
    <mergeCell ref="G6:G26"/>
    <mergeCell ref="U2:U3"/>
    <mergeCell ref="V2:V3"/>
    <mergeCell ref="W2:W3"/>
    <mergeCell ref="T2:T3"/>
    <mergeCell ref="G2:G3"/>
    <mergeCell ref="H2:H3"/>
    <mergeCell ref="I2:I3"/>
    <mergeCell ref="M2:M3"/>
    <mergeCell ref="J2:K2"/>
    <mergeCell ref="L2:L3"/>
    <mergeCell ref="Y2:Y3"/>
    <mergeCell ref="A2:A3"/>
    <mergeCell ref="B2:B3"/>
    <mergeCell ref="C2:C3"/>
    <mergeCell ref="D2:D3"/>
    <mergeCell ref="E2:E3"/>
    <mergeCell ref="X2:X3"/>
    <mergeCell ref="N2:N3"/>
    <mergeCell ref="O2:O3"/>
    <mergeCell ref="P2:P3"/>
    <mergeCell ref="Q2:Q3"/>
    <mergeCell ref="R2:R3"/>
    <mergeCell ref="S2:S3"/>
    <mergeCell ref="F2:F3"/>
  </mergeCells>
  <conditionalFormatting sqref="W2:X2">
    <cfRule type="cellIs" dxfId="1" priority="3" stopIfTrue="1" operator="equal">
      <formula>0</formula>
    </cfRule>
  </conditionalFormatting>
  <conditionalFormatting sqref="Y2">
    <cfRule type="cellIs" dxfId="0" priority="1" stopIfTrue="1" operator="equal">
      <formula>0</formula>
    </cfRule>
  </conditionalFormatting>
  <dataValidations count="2">
    <dataValidation type="list" allowBlank="1" showInputMessage="1" showErrorMessage="1" sqref="C65552:C65553 IY65552:IY65553 SU65552:SU65553 ACQ65552:ACQ65553 AMM65552:AMM65553 AWI65552:AWI65553 BGE65552:BGE65553 BQA65552:BQA65553 BZW65552:BZW65553 CJS65552:CJS65553 CTO65552:CTO65553 DDK65552:DDK65553 DNG65552:DNG65553 DXC65552:DXC65553 EGY65552:EGY65553 EQU65552:EQU65553 FAQ65552:FAQ65553 FKM65552:FKM65553 FUI65552:FUI65553 GEE65552:GEE65553 GOA65552:GOA65553 GXW65552:GXW65553 HHS65552:HHS65553 HRO65552:HRO65553 IBK65552:IBK65553 ILG65552:ILG65553 IVC65552:IVC65553 JEY65552:JEY65553 JOU65552:JOU65553 JYQ65552:JYQ65553 KIM65552:KIM65553 KSI65552:KSI65553 LCE65552:LCE65553 LMA65552:LMA65553 LVW65552:LVW65553 MFS65552:MFS65553 MPO65552:MPO65553 MZK65552:MZK65553 NJG65552:NJG65553 NTC65552:NTC65553 OCY65552:OCY65553 OMU65552:OMU65553 OWQ65552:OWQ65553 PGM65552:PGM65553 PQI65552:PQI65553 QAE65552:QAE65553 QKA65552:QKA65553 QTW65552:QTW65553 RDS65552:RDS65553 RNO65552:RNO65553 RXK65552:RXK65553 SHG65552:SHG65553 SRC65552:SRC65553 TAY65552:TAY65553 TKU65552:TKU65553 TUQ65552:TUQ65553 UEM65552:UEM65553 UOI65552:UOI65553 UYE65552:UYE65553 VIA65552:VIA65553 VRW65552:VRW65553 WBS65552:WBS65553 WLO65552:WLO65553 WVK65552:WVK65553 C131088:C131089 IY131088:IY131089 SU131088:SU131089 ACQ131088:ACQ131089 AMM131088:AMM131089 AWI131088:AWI131089 BGE131088:BGE131089 BQA131088:BQA131089 BZW131088:BZW131089 CJS131088:CJS131089 CTO131088:CTO131089 DDK131088:DDK131089 DNG131088:DNG131089 DXC131088:DXC131089 EGY131088:EGY131089 EQU131088:EQU131089 FAQ131088:FAQ131089 FKM131088:FKM131089 FUI131088:FUI131089 GEE131088:GEE131089 GOA131088:GOA131089 GXW131088:GXW131089 HHS131088:HHS131089 HRO131088:HRO131089 IBK131088:IBK131089 ILG131088:ILG131089 IVC131088:IVC131089 JEY131088:JEY131089 JOU131088:JOU131089 JYQ131088:JYQ131089 KIM131088:KIM131089 KSI131088:KSI131089 LCE131088:LCE131089 LMA131088:LMA131089 LVW131088:LVW131089 MFS131088:MFS131089 MPO131088:MPO131089 MZK131088:MZK131089 NJG131088:NJG131089 NTC131088:NTC131089 OCY131088:OCY131089 OMU131088:OMU131089 OWQ131088:OWQ131089 PGM131088:PGM131089 PQI131088:PQI131089 QAE131088:QAE131089 QKA131088:QKA131089 QTW131088:QTW131089 RDS131088:RDS131089 RNO131088:RNO131089 RXK131088:RXK131089 SHG131088:SHG131089 SRC131088:SRC131089 TAY131088:TAY131089 TKU131088:TKU131089 TUQ131088:TUQ131089 UEM131088:UEM131089 UOI131088:UOI131089 UYE131088:UYE131089 VIA131088:VIA131089 VRW131088:VRW131089 WBS131088:WBS131089 WLO131088:WLO131089 WVK131088:WVK131089 C196624:C196625 IY196624:IY196625 SU196624:SU196625 ACQ196624:ACQ196625 AMM196624:AMM196625 AWI196624:AWI196625 BGE196624:BGE196625 BQA196624:BQA196625 BZW196624:BZW196625 CJS196624:CJS196625 CTO196624:CTO196625 DDK196624:DDK196625 DNG196624:DNG196625 DXC196624:DXC196625 EGY196624:EGY196625 EQU196624:EQU196625 FAQ196624:FAQ196625 FKM196624:FKM196625 FUI196624:FUI196625 GEE196624:GEE196625 GOA196624:GOA196625 GXW196624:GXW196625 HHS196624:HHS196625 HRO196624:HRO196625 IBK196624:IBK196625 ILG196624:ILG196625 IVC196624:IVC196625 JEY196624:JEY196625 JOU196624:JOU196625 JYQ196624:JYQ196625 KIM196624:KIM196625 KSI196624:KSI196625 LCE196624:LCE196625 LMA196624:LMA196625 LVW196624:LVW196625 MFS196624:MFS196625 MPO196624:MPO196625 MZK196624:MZK196625 NJG196624:NJG196625 NTC196624:NTC196625 OCY196624:OCY196625 OMU196624:OMU196625 OWQ196624:OWQ196625 PGM196624:PGM196625 PQI196624:PQI196625 QAE196624:QAE196625 QKA196624:QKA196625 QTW196624:QTW196625 RDS196624:RDS196625 RNO196624:RNO196625 RXK196624:RXK196625 SHG196624:SHG196625 SRC196624:SRC196625 TAY196624:TAY196625 TKU196624:TKU196625 TUQ196624:TUQ196625 UEM196624:UEM196625 UOI196624:UOI196625 UYE196624:UYE196625 VIA196624:VIA196625 VRW196624:VRW196625 WBS196624:WBS196625 WLO196624:WLO196625 WVK196624:WVK196625 C262160:C262161 IY262160:IY262161 SU262160:SU262161 ACQ262160:ACQ262161 AMM262160:AMM262161 AWI262160:AWI262161 BGE262160:BGE262161 BQA262160:BQA262161 BZW262160:BZW262161 CJS262160:CJS262161 CTO262160:CTO262161 DDK262160:DDK262161 DNG262160:DNG262161 DXC262160:DXC262161 EGY262160:EGY262161 EQU262160:EQU262161 FAQ262160:FAQ262161 FKM262160:FKM262161 FUI262160:FUI262161 GEE262160:GEE262161 GOA262160:GOA262161 GXW262160:GXW262161 HHS262160:HHS262161 HRO262160:HRO262161 IBK262160:IBK262161 ILG262160:ILG262161 IVC262160:IVC262161 JEY262160:JEY262161 JOU262160:JOU262161 JYQ262160:JYQ262161 KIM262160:KIM262161 KSI262160:KSI262161 LCE262160:LCE262161 LMA262160:LMA262161 LVW262160:LVW262161 MFS262160:MFS262161 MPO262160:MPO262161 MZK262160:MZK262161 NJG262160:NJG262161 NTC262160:NTC262161 OCY262160:OCY262161 OMU262160:OMU262161 OWQ262160:OWQ262161 PGM262160:PGM262161 PQI262160:PQI262161 QAE262160:QAE262161 QKA262160:QKA262161 QTW262160:QTW262161 RDS262160:RDS262161 RNO262160:RNO262161 RXK262160:RXK262161 SHG262160:SHG262161 SRC262160:SRC262161 TAY262160:TAY262161 TKU262160:TKU262161 TUQ262160:TUQ262161 UEM262160:UEM262161 UOI262160:UOI262161 UYE262160:UYE262161 VIA262160:VIA262161 VRW262160:VRW262161 WBS262160:WBS262161 WLO262160:WLO262161 WVK262160:WVK262161 C327696:C327697 IY327696:IY327697 SU327696:SU327697 ACQ327696:ACQ327697 AMM327696:AMM327697 AWI327696:AWI327697 BGE327696:BGE327697 BQA327696:BQA327697 BZW327696:BZW327697 CJS327696:CJS327697 CTO327696:CTO327697 DDK327696:DDK327697 DNG327696:DNG327697 DXC327696:DXC327697 EGY327696:EGY327697 EQU327696:EQU327697 FAQ327696:FAQ327697 FKM327696:FKM327697 FUI327696:FUI327697 GEE327696:GEE327697 GOA327696:GOA327697 GXW327696:GXW327697 HHS327696:HHS327697 HRO327696:HRO327697 IBK327696:IBK327697 ILG327696:ILG327697 IVC327696:IVC327697 JEY327696:JEY327697 JOU327696:JOU327697 JYQ327696:JYQ327697 KIM327696:KIM327697 KSI327696:KSI327697 LCE327696:LCE327697 LMA327696:LMA327697 LVW327696:LVW327697 MFS327696:MFS327697 MPO327696:MPO327697 MZK327696:MZK327697 NJG327696:NJG327697 NTC327696:NTC327697 OCY327696:OCY327697 OMU327696:OMU327697 OWQ327696:OWQ327697 PGM327696:PGM327697 PQI327696:PQI327697 QAE327696:QAE327697 QKA327696:QKA327697 QTW327696:QTW327697 RDS327696:RDS327697 RNO327696:RNO327697 RXK327696:RXK327697 SHG327696:SHG327697 SRC327696:SRC327697 TAY327696:TAY327697 TKU327696:TKU327697 TUQ327696:TUQ327697 UEM327696:UEM327697 UOI327696:UOI327697 UYE327696:UYE327697 VIA327696:VIA327697 VRW327696:VRW327697 WBS327696:WBS327697 WLO327696:WLO327697 WVK327696:WVK327697 C393232:C393233 IY393232:IY393233 SU393232:SU393233 ACQ393232:ACQ393233 AMM393232:AMM393233 AWI393232:AWI393233 BGE393232:BGE393233 BQA393232:BQA393233 BZW393232:BZW393233 CJS393232:CJS393233 CTO393232:CTO393233 DDK393232:DDK393233 DNG393232:DNG393233 DXC393232:DXC393233 EGY393232:EGY393233 EQU393232:EQU393233 FAQ393232:FAQ393233 FKM393232:FKM393233 FUI393232:FUI393233 GEE393232:GEE393233 GOA393232:GOA393233 GXW393232:GXW393233 HHS393232:HHS393233 HRO393232:HRO393233 IBK393232:IBK393233 ILG393232:ILG393233 IVC393232:IVC393233 JEY393232:JEY393233 JOU393232:JOU393233 JYQ393232:JYQ393233 KIM393232:KIM393233 KSI393232:KSI393233 LCE393232:LCE393233 LMA393232:LMA393233 LVW393232:LVW393233 MFS393232:MFS393233 MPO393232:MPO393233 MZK393232:MZK393233 NJG393232:NJG393233 NTC393232:NTC393233 OCY393232:OCY393233 OMU393232:OMU393233 OWQ393232:OWQ393233 PGM393232:PGM393233 PQI393232:PQI393233 QAE393232:QAE393233 QKA393232:QKA393233 QTW393232:QTW393233 RDS393232:RDS393233 RNO393232:RNO393233 RXK393232:RXK393233 SHG393232:SHG393233 SRC393232:SRC393233 TAY393232:TAY393233 TKU393232:TKU393233 TUQ393232:TUQ393233 UEM393232:UEM393233 UOI393232:UOI393233 UYE393232:UYE393233 VIA393232:VIA393233 VRW393232:VRW393233 WBS393232:WBS393233 WLO393232:WLO393233 WVK393232:WVK393233 C458768:C458769 IY458768:IY458769 SU458768:SU458769 ACQ458768:ACQ458769 AMM458768:AMM458769 AWI458768:AWI458769 BGE458768:BGE458769 BQA458768:BQA458769 BZW458768:BZW458769 CJS458768:CJS458769 CTO458768:CTO458769 DDK458768:DDK458769 DNG458768:DNG458769 DXC458768:DXC458769 EGY458768:EGY458769 EQU458768:EQU458769 FAQ458768:FAQ458769 FKM458768:FKM458769 FUI458768:FUI458769 GEE458768:GEE458769 GOA458768:GOA458769 GXW458768:GXW458769 HHS458768:HHS458769 HRO458768:HRO458769 IBK458768:IBK458769 ILG458768:ILG458769 IVC458768:IVC458769 JEY458768:JEY458769 JOU458768:JOU458769 JYQ458768:JYQ458769 KIM458768:KIM458769 KSI458768:KSI458769 LCE458768:LCE458769 LMA458768:LMA458769 LVW458768:LVW458769 MFS458768:MFS458769 MPO458768:MPO458769 MZK458768:MZK458769 NJG458768:NJG458769 NTC458768:NTC458769 OCY458768:OCY458769 OMU458768:OMU458769 OWQ458768:OWQ458769 PGM458768:PGM458769 PQI458768:PQI458769 QAE458768:QAE458769 QKA458768:QKA458769 QTW458768:QTW458769 RDS458768:RDS458769 RNO458768:RNO458769 RXK458768:RXK458769 SHG458768:SHG458769 SRC458768:SRC458769 TAY458768:TAY458769 TKU458768:TKU458769 TUQ458768:TUQ458769 UEM458768:UEM458769 UOI458768:UOI458769 UYE458768:UYE458769 VIA458768:VIA458769 VRW458768:VRW458769 WBS458768:WBS458769 WLO458768:WLO458769 WVK458768:WVK458769 C524304:C524305 IY524304:IY524305 SU524304:SU524305 ACQ524304:ACQ524305 AMM524304:AMM524305 AWI524304:AWI524305 BGE524304:BGE524305 BQA524304:BQA524305 BZW524304:BZW524305 CJS524304:CJS524305 CTO524304:CTO524305 DDK524304:DDK524305 DNG524304:DNG524305 DXC524304:DXC524305 EGY524304:EGY524305 EQU524304:EQU524305 FAQ524304:FAQ524305 FKM524304:FKM524305 FUI524304:FUI524305 GEE524304:GEE524305 GOA524304:GOA524305 GXW524304:GXW524305 HHS524304:HHS524305 HRO524304:HRO524305 IBK524304:IBK524305 ILG524304:ILG524305 IVC524304:IVC524305 JEY524304:JEY524305 JOU524304:JOU524305 JYQ524304:JYQ524305 KIM524304:KIM524305 KSI524304:KSI524305 LCE524304:LCE524305 LMA524304:LMA524305 LVW524304:LVW524305 MFS524304:MFS524305 MPO524304:MPO524305 MZK524304:MZK524305 NJG524304:NJG524305 NTC524304:NTC524305 OCY524304:OCY524305 OMU524304:OMU524305 OWQ524304:OWQ524305 PGM524304:PGM524305 PQI524304:PQI524305 QAE524304:QAE524305 QKA524304:QKA524305 QTW524304:QTW524305 RDS524304:RDS524305 RNO524304:RNO524305 RXK524304:RXK524305 SHG524304:SHG524305 SRC524304:SRC524305 TAY524304:TAY524305 TKU524304:TKU524305 TUQ524304:TUQ524305 UEM524304:UEM524305 UOI524304:UOI524305 UYE524304:UYE524305 VIA524304:VIA524305 VRW524304:VRW524305 WBS524304:WBS524305 WLO524304:WLO524305 WVK524304:WVK524305 C589840:C589841 IY589840:IY589841 SU589840:SU589841 ACQ589840:ACQ589841 AMM589840:AMM589841 AWI589840:AWI589841 BGE589840:BGE589841 BQA589840:BQA589841 BZW589840:BZW589841 CJS589840:CJS589841 CTO589840:CTO589841 DDK589840:DDK589841 DNG589840:DNG589841 DXC589840:DXC589841 EGY589840:EGY589841 EQU589840:EQU589841 FAQ589840:FAQ589841 FKM589840:FKM589841 FUI589840:FUI589841 GEE589840:GEE589841 GOA589840:GOA589841 GXW589840:GXW589841 HHS589840:HHS589841 HRO589840:HRO589841 IBK589840:IBK589841 ILG589840:ILG589841 IVC589840:IVC589841 JEY589840:JEY589841 JOU589840:JOU589841 JYQ589840:JYQ589841 KIM589840:KIM589841 KSI589840:KSI589841 LCE589840:LCE589841 LMA589840:LMA589841 LVW589840:LVW589841 MFS589840:MFS589841 MPO589840:MPO589841 MZK589840:MZK589841 NJG589840:NJG589841 NTC589840:NTC589841 OCY589840:OCY589841 OMU589840:OMU589841 OWQ589840:OWQ589841 PGM589840:PGM589841 PQI589840:PQI589841 QAE589840:QAE589841 QKA589840:QKA589841 QTW589840:QTW589841 RDS589840:RDS589841 RNO589840:RNO589841 RXK589840:RXK589841 SHG589840:SHG589841 SRC589840:SRC589841 TAY589840:TAY589841 TKU589840:TKU589841 TUQ589840:TUQ589841 UEM589840:UEM589841 UOI589840:UOI589841 UYE589840:UYE589841 VIA589840:VIA589841 VRW589840:VRW589841 WBS589840:WBS589841 WLO589840:WLO589841 WVK589840:WVK589841 C655376:C655377 IY655376:IY655377 SU655376:SU655377 ACQ655376:ACQ655377 AMM655376:AMM655377 AWI655376:AWI655377 BGE655376:BGE655377 BQA655376:BQA655377 BZW655376:BZW655377 CJS655376:CJS655377 CTO655376:CTO655377 DDK655376:DDK655377 DNG655376:DNG655377 DXC655376:DXC655377 EGY655376:EGY655377 EQU655376:EQU655377 FAQ655376:FAQ655377 FKM655376:FKM655377 FUI655376:FUI655377 GEE655376:GEE655377 GOA655376:GOA655377 GXW655376:GXW655377 HHS655376:HHS655377 HRO655376:HRO655377 IBK655376:IBK655377 ILG655376:ILG655377 IVC655376:IVC655377 JEY655376:JEY655377 JOU655376:JOU655377 JYQ655376:JYQ655377 KIM655376:KIM655377 KSI655376:KSI655377 LCE655376:LCE655377 LMA655376:LMA655377 LVW655376:LVW655377 MFS655376:MFS655377 MPO655376:MPO655377 MZK655376:MZK655377 NJG655376:NJG655377 NTC655376:NTC655377 OCY655376:OCY655377 OMU655376:OMU655377 OWQ655376:OWQ655377 PGM655376:PGM655377 PQI655376:PQI655377 QAE655376:QAE655377 QKA655376:QKA655377 QTW655376:QTW655377 RDS655376:RDS655377 RNO655376:RNO655377 RXK655376:RXK655377 SHG655376:SHG655377 SRC655376:SRC655377 TAY655376:TAY655377 TKU655376:TKU655377 TUQ655376:TUQ655377 UEM655376:UEM655377 UOI655376:UOI655377 UYE655376:UYE655377 VIA655376:VIA655377 VRW655376:VRW655377 WBS655376:WBS655377 WLO655376:WLO655377 WVK655376:WVK655377 C720912:C720913 IY720912:IY720913 SU720912:SU720913 ACQ720912:ACQ720913 AMM720912:AMM720913 AWI720912:AWI720913 BGE720912:BGE720913 BQA720912:BQA720913 BZW720912:BZW720913 CJS720912:CJS720913 CTO720912:CTO720913 DDK720912:DDK720913 DNG720912:DNG720913 DXC720912:DXC720913 EGY720912:EGY720913 EQU720912:EQU720913 FAQ720912:FAQ720913 FKM720912:FKM720913 FUI720912:FUI720913 GEE720912:GEE720913 GOA720912:GOA720913 GXW720912:GXW720913 HHS720912:HHS720913 HRO720912:HRO720913 IBK720912:IBK720913 ILG720912:ILG720913 IVC720912:IVC720913 JEY720912:JEY720913 JOU720912:JOU720913 JYQ720912:JYQ720913 KIM720912:KIM720913 KSI720912:KSI720913 LCE720912:LCE720913 LMA720912:LMA720913 LVW720912:LVW720913 MFS720912:MFS720913 MPO720912:MPO720913 MZK720912:MZK720913 NJG720912:NJG720913 NTC720912:NTC720913 OCY720912:OCY720913 OMU720912:OMU720913 OWQ720912:OWQ720913 PGM720912:PGM720913 PQI720912:PQI720913 QAE720912:QAE720913 QKA720912:QKA720913 QTW720912:QTW720913 RDS720912:RDS720913 RNO720912:RNO720913 RXK720912:RXK720913 SHG720912:SHG720913 SRC720912:SRC720913 TAY720912:TAY720913 TKU720912:TKU720913 TUQ720912:TUQ720913 UEM720912:UEM720913 UOI720912:UOI720913 UYE720912:UYE720913 VIA720912:VIA720913 VRW720912:VRW720913 WBS720912:WBS720913 WLO720912:WLO720913 WVK720912:WVK720913 C786448:C786449 IY786448:IY786449 SU786448:SU786449 ACQ786448:ACQ786449 AMM786448:AMM786449 AWI786448:AWI786449 BGE786448:BGE786449 BQA786448:BQA786449 BZW786448:BZW786449 CJS786448:CJS786449 CTO786448:CTO786449 DDK786448:DDK786449 DNG786448:DNG786449 DXC786448:DXC786449 EGY786448:EGY786449 EQU786448:EQU786449 FAQ786448:FAQ786449 FKM786448:FKM786449 FUI786448:FUI786449 GEE786448:GEE786449 GOA786448:GOA786449 GXW786448:GXW786449 HHS786448:HHS786449 HRO786448:HRO786449 IBK786448:IBK786449 ILG786448:ILG786449 IVC786448:IVC786449 JEY786448:JEY786449 JOU786448:JOU786449 JYQ786448:JYQ786449 KIM786448:KIM786449 KSI786448:KSI786449 LCE786448:LCE786449 LMA786448:LMA786449 LVW786448:LVW786449 MFS786448:MFS786449 MPO786448:MPO786449 MZK786448:MZK786449 NJG786448:NJG786449 NTC786448:NTC786449 OCY786448:OCY786449 OMU786448:OMU786449 OWQ786448:OWQ786449 PGM786448:PGM786449 PQI786448:PQI786449 QAE786448:QAE786449 QKA786448:QKA786449 QTW786448:QTW786449 RDS786448:RDS786449 RNO786448:RNO786449 RXK786448:RXK786449 SHG786448:SHG786449 SRC786448:SRC786449 TAY786448:TAY786449 TKU786448:TKU786449 TUQ786448:TUQ786449 UEM786448:UEM786449 UOI786448:UOI786449 UYE786448:UYE786449 VIA786448:VIA786449 VRW786448:VRW786449 WBS786448:WBS786449 WLO786448:WLO786449 WVK786448:WVK786449 C851984:C851985 IY851984:IY851985 SU851984:SU851985 ACQ851984:ACQ851985 AMM851984:AMM851985 AWI851984:AWI851985 BGE851984:BGE851985 BQA851984:BQA851985 BZW851984:BZW851985 CJS851984:CJS851985 CTO851984:CTO851985 DDK851984:DDK851985 DNG851984:DNG851985 DXC851984:DXC851985 EGY851984:EGY851985 EQU851984:EQU851985 FAQ851984:FAQ851985 FKM851984:FKM851985 FUI851984:FUI851985 GEE851984:GEE851985 GOA851984:GOA851985 GXW851984:GXW851985 HHS851984:HHS851985 HRO851984:HRO851985 IBK851984:IBK851985 ILG851984:ILG851985 IVC851984:IVC851985 JEY851984:JEY851985 JOU851984:JOU851985 JYQ851984:JYQ851985 KIM851984:KIM851985 KSI851984:KSI851985 LCE851984:LCE851985 LMA851984:LMA851985 LVW851984:LVW851985 MFS851984:MFS851985 MPO851984:MPO851985 MZK851984:MZK851985 NJG851984:NJG851985 NTC851984:NTC851985 OCY851984:OCY851985 OMU851984:OMU851985 OWQ851984:OWQ851985 PGM851984:PGM851985 PQI851984:PQI851985 QAE851984:QAE851985 QKA851984:QKA851985 QTW851984:QTW851985 RDS851984:RDS851985 RNO851984:RNO851985 RXK851984:RXK851985 SHG851984:SHG851985 SRC851984:SRC851985 TAY851984:TAY851985 TKU851984:TKU851985 TUQ851984:TUQ851985 UEM851984:UEM851985 UOI851984:UOI851985 UYE851984:UYE851985 VIA851984:VIA851985 VRW851984:VRW851985 WBS851984:WBS851985 WLO851984:WLO851985 WVK851984:WVK851985 C917520:C917521 IY917520:IY917521 SU917520:SU917521 ACQ917520:ACQ917521 AMM917520:AMM917521 AWI917520:AWI917521 BGE917520:BGE917521 BQA917520:BQA917521 BZW917520:BZW917521 CJS917520:CJS917521 CTO917520:CTO917521 DDK917520:DDK917521 DNG917520:DNG917521 DXC917520:DXC917521 EGY917520:EGY917521 EQU917520:EQU917521 FAQ917520:FAQ917521 FKM917520:FKM917521 FUI917520:FUI917521 GEE917520:GEE917521 GOA917520:GOA917521 GXW917520:GXW917521 HHS917520:HHS917521 HRO917520:HRO917521 IBK917520:IBK917521 ILG917520:ILG917521 IVC917520:IVC917521 JEY917520:JEY917521 JOU917520:JOU917521 JYQ917520:JYQ917521 KIM917520:KIM917521 KSI917520:KSI917521 LCE917520:LCE917521 LMA917520:LMA917521 LVW917520:LVW917521 MFS917520:MFS917521 MPO917520:MPO917521 MZK917520:MZK917521 NJG917520:NJG917521 NTC917520:NTC917521 OCY917520:OCY917521 OMU917520:OMU917521 OWQ917520:OWQ917521 PGM917520:PGM917521 PQI917520:PQI917521 QAE917520:QAE917521 QKA917520:QKA917521 QTW917520:QTW917521 RDS917520:RDS917521 RNO917520:RNO917521 RXK917520:RXK917521 SHG917520:SHG917521 SRC917520:SRC917521 TAY917520:TAY917521 TKU917520:TKU917521 TUQ917520:TUQ917521 UEM917520:UEM917521 UOI917520:UOI917521 UYE917520:UYE917521 VIA917520:VIA917521 VRW917520:VRW917521 WBS917520:WBS917521 WLO917520:WLO917521 WVK917520:WVK917521 C983056:C983057 IY983056:IY983057 SU983056:SU983057 ACQ983056:ACQ983057 AMM983056:AMM983057 AWI983056:AWI983057 BGE983056:BGE983057 BQA983056:BQA983057 BZW983056:BZW983057 CJS983056:CJS983057 CTO983056:CTO983057 DDK983056:DDK983057 DNG983056:DNG983057 DXC983056:DXC983057 EGY983056:EGY983057 EQU983056:EQU983057 FAQ983056:FAQ983057 FKM983056:FKM983057 FUI983056:FUI983057 GEE983056:GEE983057 GOA983056:GOA983057 GXW983056:GXW983057 HHS983056:HHS983057 HRO983056:HRO983057 IBK983056:IBK983057 ILG983056:ILG983057 IVC983056:IVC983057 JEY983056:JEY983057 JOU983056:JOU983057 JYQ983056:JYQ983057 KIM983056:KIM983057 KSI983056:KSI983057 LCE983056:LCE983057 LMA983056:LMA983057 LVW983056:LVW983057 MFS983056:MFS983057 MPO983056:MPO983057 MZK983056:MZK983057 NJG983056:NJG983057 NTC983056:NTC983057 OCY983056:OCY983057 OMU983056:OMU983057 OWQ983056:OWQ983057 PGM983056:PGM983057 PQI983056:PQI983057 QAE983056:QAE983057 QKA983056:QKA983057 QTW983056:QTW983057 RDS983056:RDS983057 RNO983056:RNO983057 RXK983056:RXK983057 SHG983056:SHG983057 SRC983056:SRC983057 TAY983056:TAY983057 TKU983056:TKU983057 TUQ983056:TUQ983057 UEM983056:UEM983057 UOI983056:UOI983057 UYE983056:UYE983057 VIA983056:VIA983057 VRW983056:VRW983057 WBS983056:WBS983057 WLO983056:WLO983057 WVK983056:WVK983057 WVK983023:WVK983043 IY6:IY26 SU6:SU26 ACQ6:ACQ26 AMM6:AMM26 AWI6:AWI26 BGE6:BGE26 BQA6:BQA26 BZW6:BZW26 CJS6:CJS26 CTO6:CTO26 DDK6:DDK26 DNG6:DNG26 DXC6:DXC26 EGY6:EGY26 EQU6:EQU26 FAQ6:FAQ26 FKM6:FKM26 FUI6:FUI26 GEE6:GEE26 GOA6:GOA26 GXW6:GXW26 HHS6:HHS26 HRO6:HRO26 IBK6:IBK26 ILG6:ILG26 IVC6:IVC26 JEY6:JEY26 JOU6:JOU26 JYQ6:JYQ26 KIM6:KIM26 KSI6:KSI26 LCE6:LCE26 LMA6:LMA26 LVW6:LVW26 MFS6:MFS26 MPO6:MPO26 MZK6:MZK26 NJG6:NJG26 NTC6:NTC26 OCY6:OCY26 OMU6:OMU26 OWQ6:OWQ26 PGM6:PGM26 PQI6:PQI26 QAE6:QAE26 QKA6:QKA26 QTW6:QTW26 RDS6:RDS26 RNO6:RNO26 RXK6:RXK26 SHG6:SHG26 SRC6:SRC26 TAY6:TAY26 TKU6:TKU26 TUQ6:TUQ26 UEM6:UEM26 UOI6:UOI26 UYE6:UYE26 VIA6:VIA26 VRW6:VRW26 WBS6:WBS26 WLO6:WLO26 WVK6:WVK26 C65519:C65539 IY65519:IY65539 SU65519:SU65539 ACQ65519:ACQ65539 AMM65519:AMM65539 AWI65519:AWI65539 BGE65519:BGE65539 BQA65519:BQA65539 BZW65519:BZW65539 CJS65519:CJS65539 CTO65519:CTO65539 DDK65519:DDK65539 DNG65519:DNG65539 DXC65519:DXC65539 EGY65519:EGY65539 EQU65519:EQU65539 FAQ65519:FAQ65539 FKM65519:FKM65539 FUI65519:FUI65539 GEE65519:GEE65539 GOA65519:GOA65539 GXW65519:GXW65539 HHS65519:HHS65539 HRO65519:HRO65539 IBK65519:IBK65539 ILG65519:ILG65539 IVC65519:IVC65539 JEY65519:JEY65539 JOU65519:JOU65539 JYQ65519:JYQ65539 KIM65519:KIM65539 KSI65519:KSI65539 LCE65519:LCE65539 LMA65519:LMA65539 LVW65519:LVW65539 MFS65519:MFS65539 MPO65519:MPO65539 MZK65519:MZK65539 NJG65519:NJG65539 NTC65519:NTC65539 OCY65519:OCY65539 OMU65519:OMU65539 OWQ65519:OWQ65539 PGM65519:PGM65539 PQI65519:PQI65539 QAE65519:QAE65539 QKA65519:QKA65539 QTW65519:QTW65539 RDS65519:RDS65539 RNO65519:RNO65539 RXK65519:RXK65539 SHG65519:SHG65539 SRC65519:SRC65539 TAY65519:TAY65539 TKU65519:TKU65539 TUQ65519:TUQ65539 UEM65519:UEM65539 UOI65519:UOI65539 UYE65519:UYE65539 VIA65519:VIA65539 VRW65519:VRW65539 WBS65519:WBS65539 WLO65519:WLO65539 WVK65519:WVK65539 C131055:C131075 IY131055:IY131075 SU131055:SU131075 ACQ131055:ACQ131075 AMM131055:AMM131075 AWI131055:AWI131075 BGE131055:BGE131075 BQA131055:BQA131075 BZW131055:BZW131075 CJS131055:CJS131075 CTO131055:CTO131075 DDK131055:DDK131075 DNG131055:DNG131075 DXC131055:DXC131075 EGY131055:EGY131075 EQU131055:EQU131075 FAQ131055:FAQ131075 FKM131055:FKM131075 FUI131055:FUI131075 GEE131055:GEE131075 GOA131055:GOA131075 GXW131055:GXW131075 HHS131055:HHS131075 HRO131055:HRO131075 IBK131055:IBK131075 ILG131055:ILG131075 IVC131055:IVC131075 JEY131055:JEY131075 JOU131055:JOU131075 JYQ131055:JYQ131075 KIM131055:KIM131075 KSI131055:KSI131075 LCE131055:LCE131075 LMA131055:LMA131075 LVW131055:LVW131075 MFS131055:MFS131075 MPO131055:MPO131075 MZK131055:MZK131075 NJG131055:NJG131075 NTC131055:NTC131075 OCY131055:OCY131075 OMU131055:OMU131075 OWQ131055:OWQ131075 PGM131055:PGM131075 PQI131055:PQI131075 QAE131055:QAE131075 QKA131055:QKA131075 QTW131055:QTW131075 RDS131055:RDS131075 RNO131055:RNO131075 RXK131055:RXK131075 SHG131055:SHG131075 SRC131055:SRC131075 TAY131055:TAY131075 TKU131055:TKU131075 TUQ131055:TUQ131075 UEM131055:UEM131075 UOI131055:UOI131075 UYE131055:UYE131075 VIA131055:VIA131075 VRW131055:VRW131075 WBS131055:WBS131075 WLO131055:WLO131075 WVK131055:WVK131075 C196591:C196611 IY196591:IY196611 SU196591:SU196611 ACQ196591:ACQ196611 AMM196591:AMM196611 AWI196591:AWI196611 BGE196591:BGE196611 BQA196591:BQA196611 BZW196591:BZW196611 CJS196591:CJS196611 CTO196591:CTO196611 DDK196591:DDK196611 DNG196591:DNG196611 DXC196591:DXC196611 EGY196591:EGY196611 EQU196591:EQU196611 FAQ196591:FAQ196611 FKM196591:FKM196611 FUI196591:FUI196611 GEE196591:GEE196611 GOA196591:GOA196611 GXW196591:GXW196611 HHS196591:HHS196611 HRO196591:HRO196611 IBK196591:IBK196611 ILG196591:ILG196611 IVC196591:IVC196611 JEY196591:JEY196611 JOU196591:JOU196611 JYQ196591:JYQ196611 KIM196591:KIM196611 KSI196591:KSI196611 LCE196591:LCE196611 LMA196591:LMA196611 LVW196591:LVW196611 MFS196591:MFS196611 MPO196591:MPO196611 MZK196591:MZK196611 NJG196591:NJG196611 NTC196591:NTC196611 OCY196591:OCY196611 OMU196591:OMU196611 OWQ196591:OWQ196611 PGM196591:PGM196611 PQI196591:PQI196611 QAE196591:QAE196611 QKA196591:QKA196611 QTW196591:QTW196611 RDS196591:RDS196611 RNO196591:RNO196611 RXK196591:RXK196611 SHG196591:SHG196611 SRC196591:SRC196611 TAY196591:TAY196611 TKU196591:TKU196611 TUQ196591:TUQ196611 UEM196591:UEM196611 UOI196591:UOI196611 UYE196591:UYE196611 VIA196591:VIA196611 VRW196591:VRW196611 WBS196591:WBS196611 WLO196591:WLO196611 WVK196591:WVK196611 C262127:C262147 IY262127:IY262147 SU262127:SU262147 ACQ262127:ACQ262147 AMM262127:AMM262147 AWI262127:AWI262147 BGE262127:BGE262147 BQA262127:BQA262147 BZW262127:BZW262147 CJS262127:CJS262147 CTO262127:CTO262147 DDK262127:DDK262147 DNG262127:DNG262147 DXC262127:DXC262147 EGY262127:EGY262147 EQU262127:EQU262147 FAQ262127:FAQ262147 FKM262127:FKM262147 FUI262127:FUI262147 GEE262127:GEE262147 GOA262127:GOA262147 GXW262127:GXW262147 HHS262127:HHS262147 HRO262127:HRO262147 IBK262127:IBK262147 ILG262127:ILG262147 IVC262127:IVC262147 JEY262127:JEY262147 JOU262127:JOU262147 JYQ262127:JYQ262147 KIM262127:KIM262147 KSI262127:KSI262147 LCE262127:LCE262147 LMA262127:LMA262147 LVW262127:LVW262147 MFS262127:MFS262147 MPO262127:MPO262147 MZK262127:MZK262147 NJG262127:NJG262147 NTC262127:NTC262147 OCY262127:OCY262147 OMU262127:OMU262147 OWQ262127:OWQ262147 PGM262127:PGM262147 PQI262127:PQI262147 QAE262127:QAE262147 QKA262127:QKA262147 QTW262127:QTW262147 RDS262127:RDS262147 RNO262127:RNO262147 RXK262127:RXK262147 SHG262127:SHG262147 SRC262127:SRC262147 TAY262127:TAY262147 TKU262127:TKU262147 TUQ262127:TUQ262147 UEM262127:UEM262147 UOI262127:UOI262147 UYE262127:UYE262147 VIA262127:VIA262147 VRW262127:VRW262147 WBS262127:WBS262147 WLO262127:WLO262147 WVK262127:WVK262147 C327663:C327683 IY327663:IY327683 SU327663:SU327683 ACQ327663:ACQ327683 AMM327663:AMM327683 AWI327663:AWI327683 BGE327663:BGE327683 BQA327663:BQA327683 BZW327663:BZW327683 CJS327663:CJS327683 CTO327663:CTO327683 DDK327663:DDK327683 DNG327663:DNG327683 DXC327663:DXC327683 EGY327663:EGY327683 EQU327663:EQU327683 FAQ327663:FAQ327683 FKM327663:FKM327683 FUI327663:FUI327683 GEE327663:GEE327683 GOA327663:GOA327683 GXW327663:GXW327683 HHS327663:HHS327683 HRO327663:HRO327683 IBK327663:IBK327683 ILG327663:ILG327683 IVC327663:IVC327683 JEY327663:JEY327683 JOU327663:JOU327683 JYQ327663:JYQ327683 KIM327663:KIM327683 KSI327663:KSI327683 LCE327663:LCE327683 LMA327663:LMA327683 LVW327663:LVW327683 MFS327663:MFS327683 MPO327663:MPO327683 MZK327663:MZK327683 NJG327663:NJG327683 NTC327663:NTC327683 OCY327663:OCY327683 OMU327663:OMU327683 OWQ327663:OWQ327683 PGM327663:PGM327683 PQI327663:PQI327683 QAE327663:QAE327683 QKA327663:QKA327683 QTW327663:QTW327683 RDS327663:RDS327683 RNO327663:RNO327683 RXK327663:RXK327683 SHG327663:SHG327683 SRC327663:SRC327683 TAY327663:TAY327683 TKU327663:TKU327683 TUQ327663:TUQ327683 UEM327663:UEM327683 UOI327663:UOI327683 UYE327663:UYE327683 VIA327663:VIA327683 VRW327663:VRW327683 WBS327663:WBS327683 WLO327663:WLO327683 WVK327663:WVK327683 C393199:C393219 IY393199:IY393219 SU393199:SU393219 ACQ393199:ACQ393219 AMM393199:AMM393219 AWI393199:AWI393219 BGE393199:BGE393219 BQA393199:BQA393219 BZW393199:BZW393219 CJS393199:CJS393219 CTO393199:CTO393219 DDK393199:DDK393219 DNG393199:DNG393219 DXC393199:DXC393219 EGY393199:EGY393219 EQU393199:EQU393219 FAQ393199:FAQ393219 FKM393199:FKM393219 FUI393199:FUI393219 GEE393199:GEE393219 GOA393199:GOA393219 GXW393199:GXW393219 HHS393199:HHS393219 HRO393199:HRO393219 IBK393199:IBK393219 ILG393199:ILG393219 IVC393199:IVC393219 JEY393199:JEY393219 JOU393199:JOU393219 JYQ393199:JYQ393219 KIM393199:KIM393219 KSI393199:KSI393219 LCE393199:LCE393219 LMA393199:LMA393219 LVW393199:LVW393219 MFS393199:MFS393219 MPO393199:MPO393219 MZK393199:MZK393219 NJG393199:NJG393219 NTC393199:NTC393219 OCY393199:OCY393219 OMU393199:OMU393219 OWQ393199:OWQ393219 PGM393199:PGM393219 PQI393199:PQI393219 QAE393199:QAE393219 QKA393199:QKA393219 QTW393199:QTW393219 RDS393199:RDS393219 RNO393199:RNO393219 RXK393199:RXK393219 SHG393199:SHG393219 SRC393199:SRC393219 TAY393199:TAY393219 TKU393199:TKU393219 TUQ393199:TUQ393219 UEM393199:UEM393219 UOI393199:UOI393219 UYE393199:UYE393219 VIA393199:VIA393219 VRW393199:VRW393219 WBS393199:WBS393219 WLO393199:WLO393219 WVK393199:WVK393219 C458735:C458755 IY458735:IY458755 SU458735:SU458755 ACQ458735:ACQ458755 AMM458735:AMM458755 AWI458735:AWI458755 BGE458735:BGE458755 BQA458735:BQA458755 BZW458735:BZW458755 CJS458735:CJS458755 CTO458735:CTO458755 DDK458735:DDK458755 DNG458735:DNG458755 DXC458735:DXC458755 EGY458735:EGY458755 EQU458735:EQU458755 FAQ458735:FAQ458755 FKM458735:FKM458755 FUI458735:FUI458755 GEE458735:GEE458755 GOA458735:GOA458755 GXW458735:GXW458755 HHS458735:HHS458755 HRO458735:HRO458755 IBK458735:IBK458755 ILG458735:ILG458755 IVC458735:IVC458755 JEY458735:JEY458755 JOU458735:JOU458755 JYQ458735:JYQ458755 KIM458735:KIM458755 KSI458735:KSI458755 LCE458735:LCE458755 LMA458735:LMA458755 LVW458735:LVW458755 MFS458735:MFS458755 MPO458735:MPO458755 MZK458735:MZK458755 NJG458735:NJG458755 NTC458735:NTC458755 OCY458735:OCY458755 OMU458735:OMU458755 OWQ458735:OWQ458755 PGM458735:PGM458755 PQI458735:PQI458755 QAE458735:QAE458755 QKA458735:QKA458755 QTW458735:QTW458755 RDS458735:RDS458755 RNO458735:RNO458755 RXK458735:RXK458755 SHG458735:SHG458755 SRC458735:SRC458755 TAY458735:TAY458755 TKU458735:TKU458755 TUQ458735:TUQ458755 UEM458735:UEM458755 UOI458735:UOI458755 UYE458735:UYE458755 VIA458735:VIA458755 VRW458735:VRW458755 WBS458735:WBS458755 WLO458735:WLO458755 WVK458735:WVK458755 C524271:C524291 IY524271:IY524291 SU524271:SU524291 ACQ524271:ACQ524291 AMM524271:AMM524291 AWI524271:AWI524291 BGE524271:BGE524291 BQA524271:BQA524291 BZW524271:BZW524291 CJS524271:CJS524291 CTO524271:CTO524291 DDK524271:DDK524291 DNG524271:DNG524291 DXC524271:DXC524291 EGY524271:EGY524291 EQU524271:EQU524291 FAQ524271:FAQ524291 FKM524271:FKM524291 FUI524271:FUI524291 GEE524271:GEE524291 GOA524271:GOA524291 GXW524271:GXW524291 HHS524271:HHS524291 HRO524271:HRO524291 IBK524271:IBK524291 ILG524271:ILG524291 IVC524271:IVC524291 JEY524271:JEY524291 JOU524271:JOU524291 JYQ524271:JYQ524291 KIM524271:KIM524291 KSI524271:KSI524291 LCE524271:LCE524291 LMA524271:LMA524291 LVW524271:LVW524291 MFS524271:MFS524291 MPO524271:MPO524291 MZK524271:MZK524291 NJG524271:NJG524291 NTC524271:NTC524291 OCY524271:OCY524291 OMU524271:OMU524291 OWQ524271:OWQ524291 PGM524271:PGM524291 PQI524271:PQI524291 QAE524271:QAE524291 QKA524271:QKA524291 QTW524271:QTW524291 RDS524271:RDS524291 RNO524271:RNO524291 RXK524271:RXK524291 SHG524271:SHG524291 SRC524271:SRC524291 TAY524271:TAY524291 TKU524271:TKU524291 TUQ524271:TUQ524291 UEM524271:UEM524291 UOI524271:UOI524291 UYE524271:UYE524291 VIA524271:VIA524291 VRW524271:VRW524291 WBS524271:WBS524291 WLO524271:WLO524291 WVK524271:WVK524291 C589807:C589827 IY589807:IY589827 SU589807:SU589827 ACQ589807:ACQ589827 AMM589807:AMM589827 AWI589807:AWI589827 BGE589807:BGE589827 BQA589807:BQA589827 BZW589807:BZW589827 CJS589807:CJS589827 CTO589807:CTO589827 DDK589807:DDK589827 DNG589807:DNG589827 DXC589807:DXC589827 EGY589807:EGY589827 EQU589807:EQU589827 FAQ589807:FAQ589827 FKM589807:FKM589827 FUI589807:FUI589827 GEE589807:GEE589827 GOA589807:GOA589827 GXW589807:GXW589827 HHS589807:HHS589827 HRO589807:HRO589827 IBK589807:IBK589827 ILG589807:ILG589827 IVC589807:IVC589827 JEY589807:JEY589827 JOU589807:JOU589827 JYQ589807:JYQ589827 KIM589807:KIM589827 KSI589807:KSI589827 LCE589807:LCE589827 LMA589807:LMA589827 LVW589807:LVW589827 MFS589807:MFS589827 MPO589807:MPO589827 MZK589807:MZK589827 NJG589807:NJG589827 NTC589807:NTC589827 OCY589807:OCY589827 OMU589807:OMU589827 OWQ589807:OWQ589827 PGM589807:PGM589827 PQI589807:PQI589827 QAE589807:QAE589827 QKA589807:QKA589827 QTW589807:QTW589827 RDS589807:RDS589827 RNO589807:RNO589827 RXK589807:RXK589827 SHG589807:SHG589827 SRC589807:SRC589827 TAY589807:TAY589827 TKU589807:TKU589827 TUQ589807:TUQ589827 UEM589807:UEM589827 UOI589807:UOI589827 UYE589807:UYE589827 VIA589807:VIA589827 VRW589807:VRW589827 WBS589807:WBS589827 WLO589807:WLO589827 WVK589807:WVK589827 C655343:C655363 IY655343:IY655363 SU655343:SU655363 ACQ655343:ACQ655363 AMM655343:AMM655363 AWI655343:AWI655363 BGE655343:BGE655363 BQA655343:BQA655363 BZW655343:BZW655363 CJS655343:CJS655363 CTO655343:CTO655363 DDK655343:DDK655363 DNG655343:DNG655363 DXC655343:DXC655363 EGY655343:EGY655363 EQU655343:EQU655363 FAQ655343:FAQ655363 FKM655343:FKM655363 FUI655343:FUI655363 GEE655343:GEE655363 GOA655343:GOA655363 GXW655343:GXW655363 HHS655343:HHS655363 HRO655343:HRO655363 IBK655343:IBK655363 ILG655343:ILG655363 IVC655343:IVC655363 JEY655343:JEY655363 JOU655343:JOU655363 JYQ655343:JYQ655363 KIM655343:KIM655363 KSI655343:KSI655363 LCE655343:LCE655363 LMA655343:LMA655363 LVW655343:LVW655363 MFS655343:MFS655363 MPO655343:MPO655363 MZK655343:MZK655363 NJG655343:NJG655363 NTC655343:NTC655363 OCY655343:OCY655363 OMU655343:OMU655363 OWQ655343:OWQ655363 PGM655343:PGM655363 PQI655343:PQI655363 QAE655343:QAE655363 QKA655343:QKA655363 QTW655343:QTW655363 RDS655343:RDS655363 RNO655343:RNO655363 RXK655343:RXK655363 SHG655343:SHG655363 SRC655343:SRC655363 TAY655343:TAY655363 TKU655343:TKU655363 TUQ655343:TUQ655363 UEM655343:UEM655363 UOI655343:UOI655363 UYE655343:UYE655363 VIA655343:VIA655363 VRW655343:VRW655363 WBS655343:WBS655363 WLO655343:WLO655363 WVK655343:WVK655363 C720879:C720899 IY720879:IY720899 SU720879:SU720899 ACQ720879:ACQ720899 AMM720879:AMM720899 AWI720879:AWI720899 BGE720879:BGE720899 BQA720879:BQA720899 BZW720879:BZW720899 CJS720879:CJS720899 CTO720879:CTO720899 DDK720879:DDK720899 DNG720879:DNG720899 DXC720879:DXC720899 EGY720879:EGY720899 EQU720879:EQU720899 FAQ720879:FAQ720899 FKM720879:FKM720899 FUI720879:FUI720899 GEE720879:GEE720899 GOA720879:GOA720899 GXW720879:GXW720899 HHS720879:HHS720899 HRO720879:HRO720899 IBK720879:IBK720899 ILG720879:ILG720899 IVC720879:IVC720899 JEY720879:JEY720899 JOU720879:JOU720899 JYQ720879:JYQ720899 KIM720879:KIM720899 KSI720879:KSI720899 LCE720879:LCE720899 LMA720879:LMA720899 LVW720879:LVW720899 MFS720879:MFS720899 MPO720879:MPO720899 MZK720879:MZK720899 NJG720879:NJG720899 NTC720879:NTC720899 OCY720879:OCY720899 OMU720879:OMU720899 OWQ720879:OWQ720899 PGM720879:PGM720899 PQI720879:PQI720899 QAE720879:QAE720899 QKA720879:QKA720899 QTW720879:QTW720899 RDS720879:RDS720899 RNO720879:RNO720899 RXK720879:RXK720899 SHG720879:SHG720899 SRC720879:SRC720899 TAY720879:TAY720899 TKU720879:TKU720899 TUQ720879:TUQ720899 UEM720879:UEM720899 UOI720879:UOI720899 UYE720879:UYE720899 VIA720879:VIA720899 VRW720879:VRW720899 WBS720879:WBS720899 WLO720879:WLO720899 WVK720879:WVK720899 C786415:C786435 IY786415:IY786435 SU786415:SU786435 ACQ786415:ACQ786435 AMM786415:AMM786435 AWI786415:AWI786435 BGE786415:BGE786435 BQA786415:BQA786435 BZW786415:BZW786435 CJS786415:CJS786435 CTO786415:CTO786435 DDK786415:DDK786435 DNG786415:DNG786435 DXC786415:DXC786435 EGY786415:EGY786435 EQU786415:EQU786435 FAQ786415:FAQ786435 FKM786415:FKM786435 FUI786415:FUI786435 GEE786415:GEE786435 GOA786415:GOA786435 GXW786415:GXW786435 HHS786415:HHS786435 HRO786415:HRO786435 IBK786415:IBK786435 ILG786415:ILG786435 IVC786415:IVC786435 JEY786415:JEY786435 JOU786415:JOU786435 JYQ786415:JYQ786435 KIM786415:KIM786435 KSI786415:KSI786435 LCE786415:LCE786435 LMA786415:LMA786435 LVW786415:LVW786435 MFS786415:MFS786435 MPO786415:MPO786435 MZK786415:MZK786435 NJG786415:NJG786435 NTC786415:NTC786435 OCY786415:OCY786435 OMU786415:OMU786435 OWQ786415:OWQ786435 PGM786415:PGM786435 PQI786415:PQI786435 QAE786415:QAE786435 QKA786415:QKA786435 QTW786415:QTW786435 RDS786415:RDS786435 RNO786415:RNO786435 RXK786415:RXK786435 SHG786415:SHG786435 SRC786415:SRC786435 TAY786415:TAY786435 TKU786415:TKU786435 TUQ786415:TUQ786435 UEM786415:UEM786435 UOI786415:UOI786435 UYE786415:UYE786435 VIA786415:VIA786435 VRW786415:VRW786435 WBS786415:WBS786435 WLO786415:WLO786435 WVK786415:WVK786435 C851951:C851971 IY851951:IY851971 SU851951:SU851971 ACQ851951:ACQ851971 AMM851951:AMM851971 AWI851951:AWI851971 BGE851951:BGE851971 BQA851951:BQA851971 BZW851951:BZW851971 CJS851951:CJS851971 CTO851951:CTO851971 DDK851951:DDK851971 DNG851951:DNG851971 DXC851951:DXC851971 EGY851951:EGY851971 EQU851951:EQU851971 FAQ851951:FAQ851971 FKM851951:FKM851971 FUI851951:FUI851971 GEE851951:GEE851971 GOA851951:GOA851971 GXW851951:GXW851971 HHS851951:HHS851971 HRO851951:HRO851971 IBK851951:IBK851971 ILG851951:ILG851971 IVC851951:IVC851971 JEY851951:JEY851971 JOU851951:JOU851971 JYQ851951:JYQ851971 KIM851951:KIM851971 KSI851951:KSI851971 LCE851951:LCE851971 LMA851951:LMA851971 LVW851951:LVW851971 MFS851951:MFS851971 MPO851951:MPO851971 MZK851951:MZK851971 NJG851951:NJG851971 NTC851951:NTC851971 OCY851951:OCY851971 OMU851951:OMU851971 OWQ851951:OWQ851971 PGM851951:PGM851971 PQI851951:PQI851971 QAE851951:QAE851971 QKA851951:QKA851971 QTW851951:QTW851971 RDS851951:RDS851971 RNO851951:RNO851971 RXK851951:RXK851971 SHG851951:SHG851971 SRC851951:SRC851971 TAY851951:TAY851971 TKU851951:TKU851971 TUQ851951:TUQ851971 UEM851951:UEM851971 UOI851951:UOI851971 UYE851951:UYE851971 VIA851951:VIA851971 VRW851951:VRW851971 WBS851951:WBS851971 WLO851951:WLO851971 WVK851951:WVK851971 C917487:C917507 IY917487:IY917507 SU917487:SU917507 ACQ917487:ACQ917507 AMM917487:AMM917507 AWI917487:AWI917507 BGE917487:BGE917507 BQA917487:BQA917507 BZW917487:BZW917507 CJS917487:CJS917507 CTO917487:CTO917507 DDK917487:DDK917507 DNG917487:DNG917507 DXC917487:DXC917507 EGY917487:EGY917507 EQU917487:EQU917507 FAQ917487:FAQ917507 FKM917487:FKM917507 FUI917487:FUI917507 GEE917487:GEE917507 GOA917487:GOA917507 GXW917487:GXW917507 HHS917487:HHS917507 HRO917487:HRO917507 IBK917487:IBK917507 ILG917487:ILG917507 IVC917487:IVC917507 JEY917487:JEY917507 JOU917487:JOU917507 JYQ917487:JYQ917507 KIM917487:KIM917507 KSI917487:KSI917507 LCE917487:LCE917507 LMA917487:LMA917507 LVW917487:LVW917507 MFS917487:MFS917507 MPO917487:MPO917507 MZK917487:MZK917507 NJG917487:NJG917507 NTC917487:NTC917507 OCY917487:OCY917507 OMU917487:OMU917507 OWQ917487:OWQ917507 PGM917487:PGM917507 PQI917487:PQI917507 QAE917487:QAE917507 QKA917487:QKA917507 QTW917487:QTW917507 RDS917487:RDS917507 RNO917487:RNO917507 RXK917487:RXK917507 SHG917487:SHG917507 SRC917487:SRC917507 TAY917487:TAY917507 TKU917487:TKU917507 TUQ917487:TUQ917507 UEM917487:UEM917507 UOI917487:UOI917507 UYE917487:UYE917507 VIA917487:VIA917507 VRW917487:VRW917507 WBS917487:WBS917507 WLO917487:WLO917507 WVK917487:WVK917507 C983023:C983043 IY983023:IY983043 SU983023:SU983043 ACQ983023:ACQ983043 AMM983023:AMM983043 AWI983023:AWI983043 BGE983023:BGE983043 BQA983023:BQA983043 BZW983023:BZW983043 CJS983023:CJS983043 CTO983023:CTO983043 DDK983023:DDK983043 DNG983023:DNG983043 DXC983023:DXC983043 EGY983023:EGY983043 EQU983023:EQU983043 FAQ983023:FAQ983043 FKM983023:FKM983043 FUI983023:FUI983043 GEE983023:GEE983043 GOA983023:GOA983043 GXW983023:GXW983043 HHS983023:HHS983043 HRO983023:HRO983043 IBK983023:IBK983043 ILG983023:ILG983043 IVC983023:IVC983043 JEY983023:JEY983043 JOU983023:JOU983043 JYQ983023:JYQ983043 KIM983023:KIM983043 KSI983023:KSI983043 LCE983023:LCE983043 LMA983023:LMA983043 LVW983023:LVW983043 MFS983023:MFS983043 MPO983023:MPO983043 MZK983023:MZK983043 NJG983023:NJG983043 NTC983023:NTC983043 OCY983023:OCY983043 OMU983023:OMU983043 OWQ983023:OWQ983043 PGM983023:PGM983043 PQI983023:PQI983043 QAE983023:QAE983043 QKA983023:QKA983043 QTW983023:QTW983043 RDS983023:RDS983043 RNO983023:RNO983043 RXK983023:RXK983043 SHG983023:SHG983043 SRC983023:SRC983043 TAY983023:TAY983043 TKU983023:TKU983043 TUQ983023:TUQ983043 UEM983023:UEM983043 UOI983023:UOI983043 UYE983023:UYE983043 VIA983023:VIA983043 VRW983023:VRW983043 WBS983023:WBS983043 WLO983023:WLO983043">
      <formula1>HS</formula1>
    </dataValidation>
    <dataValidation type="list" allowBlank="1" showInputMessage="1" showErrorMessage="1" sqref="C6:C26">
      <formula1>HS0</formula1>
    </dataValidation>
  </dataValidations>
  <pageMargins left="0.7" right="0.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51"/>
  <sheetViews>
    <sheetView workbookViewId="0">
      <selection activeCell="C10" sqref="C10"/>
    </sheetView>
  </sheetViews>
  <sheetFormatPr defaultRowHeight="15" x14ac:dyDescent="0.25"/>
  <cols>
    <col min="1" max="1" width="42.42578125" style="69" customWidth="1"/>
    <col min="2" max="2" width="9.140625" style="69"/>
    <col min="9" max="9" width="20.5703125" bestFit="1" customWidth="1"/>
  </cols>
  <sheetData>
    <row r="1" spans="1:2" x14ac:dyDescent="0.25">
      <c r="A1" s="533">
        <v>0</v>
      </c>
      <c r="B1" s="533">
        <v>0</v>
      </c>
    </row>
    <row r="2" spans="1:2" x14ac:dyDescent="0.25">
      <c r="A2" s="533" t="s">
        <v>129</v>
      </c>
      <c r="B2" s="565">
        <v>401100</v>
      </c>
    </row>
    <row r="3" spans="1:2" x14ac:dyDescent="0.25">
      <c r="A3" s="533" t="s">
        <v>67</v>
      </c>
      <c r="B3" s="533" t="s">
        <v>130</v>
      </c>
    </row>
    <row r="4" spans="1:2" x14ac:dyDescent="0.25">
      <c r="A4" s="533" t="s">
        <v>131</v>
      </c>
      <c r="B4" s="533" t="s">
        <v>132</v>
      </c>
    </row>
    <row r="5" spans="1:2" x14ac:dyDescent="0.25">
      <c r="A5" s="533" t="s">
        <v>133</v>
      </c>
      <c r="B5" s="533" t="s">
        <v>134</v>
      </c>
    </row>
    <row r="6" spans="1:2" x14ac:dyDescent="0.25">
      <c r="A6" s="533" t="s">
        <v>135</v>
      </c>
      <c r="B6" s="533" t="s">
        <v>136</v>
      </c>
    </row>
    <row r="7" spans="1:2" x14ac:dyDescent="0.25">
      <c r="A7" s="533" t="s">
        <v>137</v>
      </c>
      <c r="B7" s="533" t="s">
        <v>138</v>
      </c>
    </row>
    <row r="8" spans="1:2" x14ac:dyDescent="0.25">
      <c r="A8" s="533" t="s">
        <v>139</v>
      </c>
      <c r="B8" s="533" t="s">
        <v>140</v>
      </c>
    </row>
    <row r="9" spans="1:2" x14ac:dyDescent="0.25">
      <c r="A9" s="533" t="s">
        <v>141</v>
      </c>
      <c r="B9" s="533" t="s">
        <v>142</v>
      </c>
    </row>
    <row r="10" spans="1:2" x14ac:dyDescent="0.25">
      <c r="A10" s="533" t="s">
        <v>143</v>
      </c>
      <c r="B10" s="533" t="s">
        <v>144</v>
      </c>
    </row>
    <row r="11" spans="1:2" x14ac:dyDescent="0.25">
      <c r="A11" s="533" t="s">
        <v>145</v>
      </c>
      <c r="B11" s="533" t="s">
        <v>146</v>
      </c>
    </row>
    <row r="12" spans="1:2" x14ac:dyDescent="0.25">
      <c r="A12" s="533" t="s">
        <v>147</v>
      </c>
      <c r="B12" s="533" t="s">
        <v>148</v>
      </c>
    </row>
    <row r="13" spans="1:2" x14ac:dyDescent="0.25">
      <c r="A13" s="533" t="s">
        <v>149</v>
      </c>
      <c r="B13" s="533" t="s">
        <v>150</v>
      </c>
    </row>
    <row r="14" spans="1:2" x14ac:dyDescent="0.25">
      <c r="A14" s="533" t="s">
        <v>151</v>
      </c>
      <c r="B14" s="533" t="s">
        <v>152</v>
      </c>
    </row>
    <row r="15" spans="1:2" x14ac:dyDescent="0.25">
      <c r="A15" s="533" t="s">
        <v>153</v>
      </c>
      <c r="B15" s="533" t="s">
        <v>154</v>
      </c>
    </row>
    <row r="16" spans="1:2" x14ac:dyDescent="0.25">
      <c r="A16" s="533" t="s">
        <v>155</v>
      </c>
      <c r="B16" s="533" t="s">
        <v>156</v>
      </c>
    </row>
    <row r="17" spans="1:2" x14ac:dyDescent="0.25">
      <c r="A17" s="533" t="s">
        <v>157</v>
      </c>
      <c r="B17" s="533" t="s">
        <v>158</v>
      </c>
    </row>
    <row r="18" spans="1:2" x14ac:dyDescent="0.25">
      <c r="A18" s="533" t="s">
        <v>159</v>
      </c>
      <c r="B18" s="533" t="s">
        <v>160</v>
      </c>
    </row>
    <row r="19" spans="1:2" x14ac:dyDescent="0.25">
      <c r="A19" s="533" t="s">
        <v>161</v>
      </c>
      <c r="B19" s="533" t="s">
        <v>162</v>
      </c>
    </row>
    <row r="20" spans="1:2" x14ac:dyDescent="0.25">
      <c r="A20" s="533" t="s">
        <v>69</v>
      </c>
      <c r="B20" s="533" t="s">
        <v>163</v>
      </c>
    </row>
    <row r="21" spans="1:2" x14ac:dyDescent="0.25">
      <c r="A21" s="533" t="s">
        <v>164</v>
      </c>
      <c r="B21" s="533" t="s">
        <v>165</v>
      </c>
    </row>
    <row r="22" spans="1:2" x14ac:dyDescent="0.25">
      <c r="A22" s="533" t="s">
        <v>166</v>
      </c>
      <c r="B22" s="533" t="s">
        <v>167</v>
      </c>
    </row>
    <row r="23" spans="1:2" x14ac:dyDescent="0.25">
      <c r="A23" s="533" t="s">
        <v>63</v>
      </c>
      <c r="B23" s="533" t="s">
        <v>168</v>
      </c>
    </row>
    <row r="24" spans="1:2" x14ac:dyDescent="0.25">
      <c r="A24" s="533" t="s">
        <v>169</v>
      </c>
      <c r="B24" s="533" t="s">
        <v>170</v>
      </c>
    </row>
    <row r="25" spans="1:2" x14ac:dyDescent="0.25">
      <c r="A25" s="533" t="s">
        <v>171</v>
      </c>
      <c r="B25" s="533" t="s">
        <v>172</v>
      </c>
    </row>
    <row r="26" spans="1:2" x14ac:dyDescent="0.25">
      <c r="A26" s="533" t="s">
        <v>173</v>
      </c>
      <c r="B26" s="533" t="s">
        <v>174</v>
      </c>
    </row>
    <row r="27" spans="1:2" x14ac:dyDescent="0.25">
      <c r="A27" s="533" t="s">
        <v>175</v>
      </c>
      <c r="B27" s="533" t="s">
        <v>176</v>
      </c>
    </row>
    <row r="28" spans="1:2" x14ac:dyDescent="0.25">
      <c r="A28" s="533" t="s">
        <v>177</v>
      </c>
      <c r="B28" s="533" t="s">
        <v>178</v>
      </c>
    </row>
    <row r="29" spans="1:2" x14ac:dyDescent="0.25">
      <c r="A29" s="533" t="s">
        <v>179</v>
      </c>
      <c r="B29" s="533" t="s">
        <v>180</v>
      </c>
    </row>
    <row r="30" spans="1:2" x14ac:dyDescent="0.25">
      <c r="A30" s="533" t="s">
        <v>181</v>
      </c>
      <c r="B30" s="533" t="s">
        <v>182</v>
      </c>
    </row>
    <row r="31" spans="1:2" x14ac:dyDescent="0.25">
      <c r="A31" s="533" t="s">
        <v>183</v>
      </c>
      <c r="B31" s="533" t="s">
        <v>184</v>
      </c>
    </row>
    <row r="32" spans="1:2" x14ac:dyDescent="0.25">
      <c r="A32" s="533" t="s">
        <v>185</v>
      </c>
      <c r="B32" s="533" t="s">
        <v>186</v>
      </c>
    </row>
    <row r="33" spans="1:2" x14ac:dyDescent="0.25">
      <c r="A33" s="533" t="s">
        <v>187</v>
      </c>
      <c r="B33" s="533" t="s">
        <v>188</v>
      </c>
    </row>
    <row r="34" spans="1:2" x14ac:dyDescent="0.25">
      <c r="A34" s="533" t="s">
        <v>189</v>
      </c>
      <c r="B34" s="533" t="s">
        <v>190</v>
      </c>
    </row>
    <row r="35" spans="1:2" x14ac:dyDescent="0.25">
      <c r="A35" s="533" t="s">
        <v>191</v>
      </c>
      <c r="B35" s="533" t="s">
        <v>192</v>
      </c>
    </row>
    <row r="36" spans="1:2" x14ac:dyDescent="0.25">
      <c r="A36" s="533" t="s">
        <v>193</v>
      </c>
      <c r="B36" s="533" t="s">
        <v>194</v>
      </c>
    </row>
    <row r="37" spans="1:2" x14ac:dyDescent="0.25">
      <c r="A37" s="533" t="s">
        <v>195</v>
      </c>
      <c r="B37" s="533" t="s">
        <v>196</v>
      </c>
    </row>
    <row r="38" spans="1:2" x14ac:dyDescent="0.25">
      <c r="A38" s="533" t="s">
        <v>197</v>
      </c>
      <c r="B38" s="533" t="s">
        <v>198</v>
      </c>
    </row>
    <row r="39" spans="1:2" x14ac:dyDescent="0.25">
      <c r="A39" s="533" t="s">
        <v>199</v>
      </c>
      <c r="B39" s="533" t="s">
        <v>200</v>
      </c>
    </row>
    <row r="40" spans="1:2" x14ac:dyDescent="0.25">
      <c r="A40" s="533" t="s">
        <v>201</v>
      </c>
      <c r="B40" s="533" t="s">
        <v>202</v>
      </c>
    </row>
    <row r="41" spans="1:2" x14ac:dyDescent="0.25">
      <c r="A41" s="533" t="s">
        <v>203</v>
      </c>
      <c r="B41" s="533" t="s">
        <v>204</v>
      </c>
    </row>
    <row r="42" spans="1:2" x14ac:dyDescent="0.25">
      <c r="A42" s="533" t="s">
        <v>205</v>
      </c>
      <c r="B42" s="533" t="s">
        <v>206</v>
      </c>
    </row>
    <row r="43" spans="1:2" x14ac:dyDescent="0.25">
      <c r="A43" s="533" t="s">
        <v>207</v>
      </c>
      <c r="B43" s="533" t="s">
        <v>208</v>
      </c>
    </row>
    <row r="44" spans="1:2" x14ac:dyDescent="0.25">
      <c r="A44" s="533" t="s">
        <v>209</v>
      </c>
      <c r="B44" s="533" t="s">
        <v>210</v>
      </c>
    </row>
    <row r="45" spans="1:2" x14ac:dyDescent="0.25">
      <c r="A45" s="533" t="s">
        <v>211</v>
      </c>
      <c r="B45" s="533" t="s">
        <v>212</v>
      </c>
    </row>
    <row r="46" spans="1:2" x14ac:dyDescent="0.25">
      <c r="A46" s="533" t="s">
        <v>213</v>
      </c>
      <c r="B46" s="533" t="s">
        <v>214</v>
      </c>
    </row>
    <row r="47" spans="1:2" x14ac:dyDescent="0.25">
      <c r="A47" s="533" t="s">
        <v>215</v>
      </c>
      <c r="B47" s="533" t="s">
        <v>216</v>
      </c>
    </row>
    <row r="48" spans="1:2" x14ac:dyDescent="0.25">
      <c r="A48" s="533" t="s">
        <v>217</v>
      </c>
      <c r="B48" s="533" t="s">
        <v>218</v>
      </c>
    </row>
    <row r="49" spans="1:2" x14ac:dyDescent="0.25">
      <c r="A49" s="533" t="s">
        <v>219</v>
      </c>
      <c r="B49" s="533" t="s">
        <v>220</v>
      </c>
    </row>
    <row r="50" spans="1:2" x14ac:dyDescent="0.25">
      <c r="A50" s="533" t="s">
        <v>221</v>
      </c>
      <c r="B50" s="533" t="s">
        <v>222</v>
      </c>
    </row>
    <row r="51" spans="1:2" x14ac:dyDescent="0.25">
      <c r="A51" s="533" t="s">
        <v>223</v>
      </c>
      <c r="B51" s="533" t="s">
        <v>224</v>
      </c>
    </row>
    <row r="52" spans="1:2" x14ac:dyDescent="0.25">
      <c r="A52" s="533" t="s">
        <v>225</v>
      </c>
      <c r="B52" s="533" t="s">
        <v>226</v>
      </c>
    </row>
    <row r="53" spans="1:2" x14ac:dyDescent="0.25">
      <c r="A53" s="533" t="s">
        <v>227</v>
      </c>
      <c r="B53" s="533" t="s">
        <v>228</v>
      </c>
    </row>
    <row r="54" spans="1:2" x14ac:dyDescent="0.25">
      <c r="A54" s="533" t="s">
        <v>229</v>
      </c>
      <c r="B54" s="533" t="s">
        <v>230</v>
      </c>
    </row>
    <row r="55" spans="1:2" x14ac:dyDescent="0.25">
      <c r="A55" s="533" t="s">
        <v>1743</v>
      </c>
      <c r="B55" s="533" t="s">
        <v>1667</v>
      </c>
    </row>
    <row r="56" spans="1:2" x14ac:dyDescent="0.25">
      <c r="A56" s="533" t="s">
        <v>1668</v>
      </c>
      <c r="B56" s="533" t="s">
        <v>1669</v>
      </c>
    </row>
    <row r="57" spans="1:2" x14ac:dyDescent="0.25">
      <c r="A57" s="533" t="s">
        <v>1670</v>
      </c>
      <c r="B57" s="533" t="s">
        <v>1671</v>
      </c>
    </row>
    <row r="58" spans="1:2" x14ac:dyDescent="0.25">
      <c r="A58" s="533" t="s">
        <v>1672</v>
      </c>
      <c r="B58" s="533" t="s">
        <v>1673</v>
      </c>
    </row>
    <row r="59" spans="1:2" x14ac:dyDescent="0.25">
      <c r="A59" s="533" t="s">
        <v>1674</v>
      </c>
      <c r="B59" s="533" t="s">
        <v>1675</v>
      </c>
    </row>
    <row r="60" spans="1:2" x14ac:dyDescent="0.25">
      <c r="A60" s="533" t="s">
        <v>232</v>
      </c>
      <c r="B60" s="533" t="s">
        <v>233</v>
      </c>
    </row>
    <row r="61" spans="1:2" x14ac:dyDescent="0.25">
      <c r="A61" s="533" t="s">
        <v>234</v>
      </c>
      <c r="B61" s="533" t="s">
        <v>235</v>
      </c>
    </row>
    <row r="62" spans="1:2" x14ac:dyDescent="0.25">
      <c r="A62" s="533" t="s">
        <v>236</v>
      </c>
      <c r="B62" s="533" t="s">
        <v>237</v>
      </c>
    </row>
    <row r="63" spans="1:2" x14ac:dyDescent="0.25">
      <c r="A63" s="533" t="s">
        <v>238</v>
      </c>
      <c r="B63" s="533" t="s">
        <v>239</v>
      </c>
    </row>
    <row r="64" spans="1:2" x14ac:dyDescent="0.25">
      <c r="A64" s="533" t="s">
        <v>1676</v>
      </c>
      <c r="B64" s="533" t="s">
        <v>1677</v>
      </c>
    </row>
    <row r="65" spans="1:4" x14ac:dyDescent="0.25">
      <c r="A65" s="533" t="s">
        <v>240</v>
      </c>
      <c r="B65" s="533" t="s">
        <v>241</v>
      </c>
    </row>
    <row r="66" spans="1:4" x14ac:dyDescent="0.25">
      <c r="A66" s="533" t="s">
        <v>1678</v>
      </c>
      <c r="B66" s="533" t="s">
        <v>1679</v>
      </c>
    </row>
    <row r="67" spans="1:4" x14ac:dyDescent="0.25">
      <c r="A67" s="533" t="s">
        <v>242</v>
      </c>
      <c r="B67" s="533" t="s">
        <v>243</v>
      </c>
    </row>
    <row r="68" spans="1:4" x14ac:dyDescent="0.25">
      <c r="A68" s="533" t="s">
        <v>1680</v>
      </c>
      <c r="B68" s="533" t="s">
        <v>1681</v>
      </c>
    </row>
    <row r="69" spans="1:4" x14ac:dyDescent="0.25">
      <c r="A69" s="533" t="s">
        <v>244</v>
      </c>
      <c r="B69" s="533" t="s">
        <v>245</v>
      </c>
      <c r="D69" s="69"/>
    </row>
    <row r="70" spans="1:4" x14ac:dyDescent="0.25">
      <c r="A70" s="533" t="s">
        <v>246</v>
      </c>
      <c r="B70" s="533" t="s">
        <v>247</v>
      </c>
      <c r="D70" s="69"/>
    </row>
    <row r="71" spans="1:4" x14ac:dyDescent="0.25">
      <c r="A71" s="533" t="s">
        <v>248</v>
      </c>
      <c r="B71" s="533" t="s">
        <v>249</v>
      </c>
      <c r="D71" s="69"/>
    </row>
    <row r="72" spans="1:4" x14ac:dyDescent="0.25">
      <c r="A72" s="533" t="s">
        <v>250</v>
      </c>
      <c r="B72" s="533" t="s">
        <v>251</v>
      </c>
      <c r="D72" s="69"/>
    </row>
    <row r="73" spans="1:4" x14ac:dyDescent="0.25">
      <c r="A73" s="533" t="s">
        <v>252</v>
      </c>
      <c r="B73" s="533" t="s">
        <v>253</v>
      </c>
      <c r="D73" s="69"/>
    </row>
    <row r="74" spans="1:4" x14ac:dyDescent="0.25">
      <c r="A74" s="533" t="s">
        <v>254</v>
      </c>
      <c r="B74" s="533" t="s">
        <v>255</v>
      </c>
      <c r="D74" s="69"/>
    </row>
    <row r="75" spans="1:4" x14ac:dyDescent="0.25">
      <c r="A75" s="533" t="s">
        <v>256</v>
      </c>
      <c r="B75" s="533" t="s">
        <v>257</v>
      </c>
      <c r="D75" s="69"/>
    </row>
    <row r="76" spans="1:4" x14ac:dyDescent="0.25">
      <c r="A76" s="533" t="s">
        <v>258</v>
      </c>
      <c r="B76" s="533" t="s">
        <v>259</v>
      </c>
      <c r="D76" s="69"/>
    </row>
    <row r="77" spans="1:4" x14ac:dyDescent="0.25">
      <c r="A77" s="533" t="s">
        <v>260</v>
      </c>
      <c r="B77" s="533" t="s">
        <v>261</v>
      </c>
      <c r="D77" s="69"/>
    </row>
    <row r="78" spans="1:4" x14ac:dyDescent="0.25">
      <c r="A78" s="533" t="s">
        <v>262</v>
      </c>
      <c r="B78" s="533" t="s">
        <v>1682</v>
      </c>
      <c r="D78" s="69"/>
    </row>
    <row r="79" spans="1:4" x14ac:dyDescent="0.25">
      <c r="A79" s="533" t="s">
        <v>263</v>
      </c>
      <c r="B79" s="533" t="s">
        <v>1683</v>
      </c>
      <c r="D79" s="69"/>
    </row>
    <row r="80" spans="1:4" x14ac:dyDescent="0.25">
      <c r="A80" s="533" t="s">
        <v>264</v>
      </c>
      <c r="B80" s="533" t="s">
        <v>1684</v>
      </c>
      <c r="D80" s="69"/>
    </row>
    <row r="81" spans="1:4" x14ac:dyDescent="0.25">
      <c r="A81" s="533" t="s">
        <v>265</v>
      </c>
      <c r="B81" s="533" t="s">
        <v>1685</v>
      </c>
      <c r="D81" s="69"/>
    </row>
    <row r="82" spans="1:4" x14ac:dyDescent="0.25">
      <c r="A82" s="533" t="s">
        <v>1686</v>
      </c>
      <c r="B82" s="533" t="s">
        <v>1687</v>
      </c>
      <c r="D82" s="69"/>
    </row>
    <row r="83" spans="1:4" x14ac:dyDescent="0.25">
      <c r="A83" s="533" t="s">
        <v>266</v>
      </c>
      <c r="B83" s="533" t="s">
        <v>1688</v>
      </c>
      <c r="D83" s="69"/>
    </row>
    <row r="84" spans="1:4" x14ac:dyDescent="0.25">
      <c r="A84" s="533" t="s">
        <v>68</v>
      </c>
      <c r="B84" s="533" t="s">
        <v>1689</v>
      </c>
      <c r="D84" s="69"/>
    </row>
    <row r="85" spans="1:4" x14ac:dyDescent="0.25">
      <c r="A85" s="533" t="s">
        <v>1690</v>
      </c>
      <c r="B85" s="533" t="s">
        <v>267</v>
      </c>
      <c r="D85" s="69"/>
    </row>
    <row r="86" spans="1:4" x14ac:dyDescent="0.25">
      <c r="A86" s="533" t="s">
        <v>268</v>
      </c>
      <c r="B86" s="533" t="s">
        <v>1691</v>
      </c>
      <c r="D86" s="69"/>
    </row>
    <row r="87" spans="1:4" x14ac:dyDescent="0.25">
      <c r="A87" s="533" t="s">
        <v>269</v>
      </c>
      <c r="B87" s="533" t="s">
        <v>1692</v>
      </c>
      <c r="D87" s="69"/>
    </row>
    <row r="88" spans="1:4" x14ac:dyDescent="0.25">
      <c r="A88" s="533" t="s">
        <v>270</v>
      </c>
      <c r="B88" s="533" t="s">
        <v>1693</v>
      </c>
      <c r="D88" s="69"/>
    </row>
    <row r="89" spans="1:4" x14ac:dyDescent="0.25">
      <c r="A89" s="533" t="s">
        <v>1694</v>
      </c>
      <c r="B89" s="533" t="s">
        <v>1695</v>
      </c>
      <c r="D89" s="69"/>
    </row>
    <row r="90" spans="1:4" x14ac:dyDescent="0.25">
      <c r="A90" s="533" t="s">
        <v>271</v>
      </c>
      <c r="B90" s="533" t="s">
        <v>1696</v>
      </c>
      <c r="D90" s="69"/>
    </row>
    <row r="91" spans="1:4" x14ac:dyDescent="0.25">
      <c r="A91" s="533" t="s">
        <v>272</v>
      </c>
      <c r="B91" s="533" t="s">
        <v>1697</v>
      </c>
      <c r="D91" s="69"/>
    </row>
    <row r="92" spans="1:4" x14ac:dyDescent="0.25">
      <c r="A92" s="533" t="s">
        <v>1698</v>
      </c>
      <c r="B92" s="533" t="s">
        <v>1699</v>
      </c>
      <c r="D92" s="69"/>
    </row>
    <row r="93" spans="1:4" x14ac:dyDescent="0.25">
      <c r="A93" s="533" t="s">
        <v>274</v>
      </c>
      <c r="B93" s="533" t="s">
        <v>1700</v>
      </c>
      <c r="D93" s="69"/>
    </row>
    <row r="94" spans="1:4" x14ac:dyDescent="0.25">
      <c r="A94" s="533" t="s">
        <v>1701</v>
      </c>
      <c r="B94" s="533" t="s">
        <v>315</v>
      </c>
      <c r="D94" s="69"/>
    </row>
    <row r="95" spans="1:4" x14ac:dyDescent="0.25">
      <c r="A95" s="533" t="s">
        <v>275</v>
      </c>
      <c r="B95" s="533" t="s">
        <v>276</v>
      </c>
      <c r="D95" s="69"/>
    </row>
    <row r="96" spans="1:4" x14ac:dyDescent="0.25">
      <c r="A96" s="533" t="s">
        <v>1702</v>
      </c>
      <c r="B96" s="533" t="s">
        <v>1703</v>
      </c>
      <c r="D96" s="69"/>
    </row>
    <row r="97" spans="4:4" x14ac:dyDescent="0.25">
      <c r="D97" s="69"/>
    </row>
    <row r="98" spans="4:4" x14ac:dyDescent="0.25">
      <c r="D98" s="69"/>
    </row>
    <row r="99" spans="4:4" x14ac:dyDescent="0.25">
      <c r="D99" s="69"/>
    </row>
    <row r="100" spans="4:4" x14ac:dyDescent="0.25">
      <c r="D100" s="69"/>
    </row>
    <row r="138" spans="9:10" ht="15.75" x14ac:dyDescent="0.25">
      <c r="I138" s="70" t="s">
        <v>277</v>
      </c>
      <c r="J138" s="71">
        <v>479800</v>
      </c>
    </row>
    <row r="139" spans="9:10" ht="15.75" x14ac:dyDescent="0.25">
      <c r="I139" s="70" t="s">
        <v>278</v>
      </c>
      <c r="J139" s="71">
        <v>479800</v>
      </c>
    </row>
    <row r="140" spans="9:10" ht="15.75" x14ac:dyDescent="0.25">
      <c r="I140" s="70" t="s">
        <v>279</v>
      </c>
      <c r="J140" s="71">
        <v>479800</v>
      </c>
    </row>
    <row r="141" spans="9:10" ht="15.75" x14ac:dyDescent="0.25">
      <c r="I141" s="70" t="s">
        <v>280</v>
      </c>
      <c r="J141" s="71">
        <v>479800</v>
      </c>
    </row>
    <row r="142" spans="9:10" ht="15.75" x14ac:dyDescent="0.25">
      <c r="I142" s="70" t="s">
        <v>281</v>
      </c>
      <c r="J142" s="71">
        <v>479800</v>
      </c>
    </row>
    <row r="143" spans="9:10" ht="15.75" x14ac:dyDescent="0.25">
      <c r="I143" s="70" t="s">
        <v>282</v>
      </c>
      <c r="J143" s="71">
        <v>479800</v>
      </c>
    </row>
    <row r="144" spans="9:10" ht="15.75" x14ac:dyDescent="0.25">
      <c r="I144" s="70" t="s">
        <v>283</v>
      </c>
      <c r="J144" s="71">
        <v>479800</v>
      </c>
    </row>
    <row r="145" spans="9:10" ht="15.75" x14ac:dyDescent="0.25">
      <c r="I145" s="70" t="s">
        <v>284</v>
      </c>
      <c r="J145" s="71">
        <v>479800</v>
      </c>
    </row>
    <row r="146" spans="9:10" ht="15.75" x14ac:dyDescent="0.25">
      <c r="I146" s="70" t="s">
        <v>285</v>
      </c>
      <c r="J146" s="71">
        <v>479800</v>
      </c>
    </row>
    <row r="147" spans="9:10" ht="15.75" x14ac:dyDescent="0.25">
      <c r="I147" s="70" t="s">
        <v>286</v>
      </c>
      <c r="J147" s="71">
        <v>479800</v>
      </c>
    </row>
    <row r="148" spans="9:10" ht="15.75" x14ac:dyDescent="0.25">
      <c r="I148" s="70" t="s">
        <v>287</v>
      </c>
      <c r="J148" s="71">
        <v>479800</v>
      </c>
    </row>
    <row r="149" spans="9:10" ht="15.75" x14ac:dyDescent="0.25">
      <c r="I149" s="70" t="s">
        <v>288</v>
      </c>
      <c r="J149" s="71">
        <v>479800</v>
      </c>
    </row>
    <row r="150" spans="9:10" ht="15.75" x14ac:dyDescent="0.25">
      <c r="I150" s="70" t="s">
        <v>289</v>
      </c>
      <c r="J150" s="71">
        <v>479800</v>
      </c>
    </row>
    <row r="151" spans="9:10" ht="15.75" x14ac:dyDescent="0.25">
      <c r="I151" s="70" t="s">
        <v>290</v>
      </c>
      <c r="J151" s="71">
        <v>479800</v>
      </c>
    </row>
  </sheetData>
  <sheetProtection password="CA8C" sheet="1" objects="1" scenarios="1" formatCells="0" formatColumns="0" formatRows="0" autoFilter="0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2:AB86"/>
  <sheetViews>
    <sheetView zoomScale="55" zoomScaleNormal="55" workbookViewId="0">
      <selection activeCell="D10" sqref="D10:H10"/>
    </sheetView>
  </sheetViews>
  <sheetFormatPr defaultRowHeight="12.75" x14ac:dyDescent="0.2"/>
  <cols>
    <col min="1" max="1" width="3" style="8" customWidth="1"/>
    <col min="2" max="3" width="8.42578125" style="8" customWidth="1"/>
    <col min="4" max="4" width="10.42578125" style="8" customWidth="1"/>
    <col min="5" max="5" width="32.42578125" style="9" customWidth="1"/>
    <col min="6" max="6" width="10.85546875" style="10" customWidth="1"/>
    <col min="7" max="7" width="24.42578125" style="10" customWidth="1"/>
    <col min="8" max="8" width="21.7109375" style="11" customWidth="1"/>
    <col min="9" max="11" width="9.28515625" style="11" customWidth="1"/>
    <col min="12" max="12" width="9.28515625" style="8" customWidth="1"/>
    <col min="13" max="13" width="17" style="8" customWidth="1"/>
    <col min="14" max="14" width="16.140625" style="8" customWidth="1"/>
    <col min="15" max="261" width="9.140625" style="8"/>
    <col min="262" max="262" width="7.140625" style="8" customWidth="1"/>
    <col min="263" max="263" width="25.7109375" style="8" customWidth="1"/>
    <col min="264" max="264" width="17.42578125" style="8" customWidth="1"/>
    <col min="265" max="265" width="8" style="8" customWidth="1"/>
    <col min="266" max="266" width="13.7109375" style="8" customWidth="1"/>
    <col min="267" max="267" width="17.5703125" style="8" customWidth="1"/>
    <col min="268" max="268" width="19.42578125" style="8" customWidth="1"/>
    <col min="269" max="269" width="17" style="8" customWidth="1"/>
    <col min="270" max="517" width="9.140625" style="8"/>
    <col min="518" max="518" width="7.140625" style="8" customWidth="1"/>
    <col min="519" max="519" width="25.7109375" style="8" customWidth="1"/>
    <col min="520" max="520" width="17.42578125" style="8" customWidth="1"/>
    <col min="521" max="521" width="8" style="8" customWidth="1"/>
    <col min="522" max="522" width="13.7109375" style="8" customWidth="1"/>
    <col min="523" max="523" width="17.5703125" style="8" customWidth="1"/>
    <col min="524" max="524" width="19.42578125" style="8" customWidth="1"/>
    <col min="525" max="525" width="17" style="8" customWidth="1"/>
    <col min="526" max="773" width="9.140625" style="8"/>
    <col min="774" max="774" width="7.140625" style="8" customWidth="1"/>
    <col min="775" max="775" width="25.7109375" style="8" customWidth="1"/>
    <col min="776" max="776" width="17.42578125" style="8" customWidth="1"/>
    <col min="777" max="777" width="8" style="8" customWidth="1"/>
    <col min="778" max="778" width="13.7109375" style="8" customWidth="1"/>
    <col min="779" max="779" width="17.5703125" style="8" customWidth="1"/>
    <col min="780" max="780" width="19.42578125" style="8" customWidth="1"/>
    <col min="781" max="781" width="17" style="8" customWidth="1"/>
    <col min="782" max="1029" width="9.140625" style="8"/>
    <col min="1030" max="1030" width="7.140625" style="8" customWidth="1"/>
    <col min="1031" max="1031" width="25.7109375" style="8" customWidth="1"/>
    <col min="1032" max="1032" width="17.42578125" style="8" customWidth="1"/>
    <col min="1033" max="1033" width="8" style="8" customWidth="1"/>
    <col min="1034" max="1034" width="13.7109375" style="8" customWidth="1"/>
    <col min="1035" max="1035" width="17.5703125" style="8" customWidth="1"/>
    <col min="1036" max="1036" width="19.42578125" style="8" customWidth="1"/>
    <col min="1037" max="1037" width="17" style="8" customWidth="1"/>
    <col min="1038" max="1285" width="9.140625" style="8"/>
    <col min="1286" max="1286" width="7.140625" style="8" customWidth="1"/>
    <col min="1287" max="1287" width="25.7109375" style="8" customWidth="1"/>
    <col min="1288" max="1288" width="17.42578125" style="8" customWidth="1"/>
    <col min="1289" max="1289" width="8" style="8" customWidth="1"/>
    <col min="1290" max="1290" width="13.7109375" style="8" customWidth="1"/>
    <col min="1291" max="1291" width="17.5703125" style="8" customWidth="1"/>
    <col min="1292" max="1292" width="19.42578125" style="8" customWidth="1"/>
    <col min="1293" max="1293" width="17" style="8" customWidth="1"/>
    <col min="1294" max="1541" width="9.140625" style="8"/>
    <col min="1542" max="1542" width="7.140625" style="8" customWidth="1"/>
    <col min="1543" max="1543" width="25.7109375" style="8" customWidth="1"/>
    <col min="1544" max="1544" width="17.42578125" style="8" customWidth="1"/>
    <col min="1545" max="1545" width="8" style="8" customWidth="1"/>
    <col min="1546" max="1546" width="13.7109375" style="8" customWidth="1"/>
    <col min="1547" max="1547" width="17.5703125" style="8" customWidth="1"/>
    <col min="1548" max="1548" width="19.42578125" style="8" customWidth="1"/>
    <col min="1549" max="1549" width="17" style="8" customWidth="1"/>
    <col min="1550" max="1797" width="9.140625" style="8"/>
    <col min="1798" max="1798" width="7.140625" style="8" customWidth="1"/>
    <col min="1799" max="1799" width="25.7109375" style="8" customWidth="1"/>
    <col min="1800" max="1800" width="17.42578125" style="8" customWidth="1"/>
    <col min="1801" max="1801" width="8" style="8" customWidth="1"/>
    <col min="1802" max="1802" width="13.7109375" style="8" customWidth="1"/>
    <col min="1803" max="1803" width="17.5703125" style="8" customWidth="1"/>
    <col min="1804" max="1804" width="19.42578125" style="8" customWidth="1"/>
    <col min="1805" max="1805" width="17" style="8" customWidth="1"/>
    <col min="1806" max="2053" width="9.140625" style="8"/>
    <col min="2054" max="2054" width="7.140625" style="8" customWidth="1"/>
    <col min="2055" max="2055" width="25.7109375" style="8" customWidth="1"/>
    <col min="2056" max="2056" width="17.42578125" style="8" customWidth="1"/>
    <col min="2057" max="2057" width="8" style="8" customWidth="1"/>
    <col min="2058" max="2058" width="13.7109375" style="8" customWidth="1"/>
    <col min="2059" max="2059" width="17.5703125" style="8" customWidth="1"/>
    <col min="2060" max="2060" width="19.42578125" style="8" customWidth="1"/>
    <col min="2061" max="2061" width="17" style="8" customWidth="1"/>
    <col min="2062" max="2309" width="9.140625" style="8"/>
    <col min="2310" max="2310" width="7.140625" style="8" customWidth="1"/>
    <col min="2311" max="2311" width="25.7109375" style="8" customWidth="1"/>
    <col min="2312" max="2312" width="17.42578125" style="8" customWidth="1"/>
    <col min="2313" max="2313" width="8" style="8" customWidth="1"/>
    <col min="2314" max="2314" width="13.7109375" style="8" customWidth="1"/>
    <col min="2315" max="2315" width="17.5703125" style="8" customWidth="1"/>
    <col min="2316" max="2316" width="19.42578125" style="8" customWidth="1"/>
    <col min="2317" max="2317" width="17" style="8" customWidth="1"/>
    <col min="2318" max="2565" width="9.140625" style="8"/>
    <col min="2566" max="2566" width="7.140625" style="8" customWidth="1"/>
    <col min="2567" max="2567" width="25.7109375" style="8" customWidth="1"/>
    <col min="2568" max="2568" width="17.42578125" style="8" customWidth="1"/>
    <col min="2569" max="2569" width="8" style="8" customWidth="1"/>
    <col min="2570" max="2570" width="13.7109375" style="8" customWidth="1"/>
    <col min="2571" max="2571" width="17.5703125" style="8" customWidth="1"/>
    <col min="2572" max="2572" width="19.42578125" style="8" customWidth="1"/>
    <col min="2573" max="2573" width="17" style="8" customWidth="1"/>
    <col min="2574" max="2821" width="9.140625" style="8"/>
    <col min="2822" max="2822" width="7.140625" style="8" customWidth="1"/>
    <col min="2823" max="2823" width="25.7109375" style="8" customWidth="1"/>
    <col min="2824" max="2824" width="17.42578125" style="8" customWidth="1"/>
    <col min="2825" max="2825" width="8" style="8" customWidth="1"/>
    <col min="2826" max="2826" width="13.7109375" style="8" customWidth="1"/>
    <col min="2827" max="2827" width="17.5703125" style="8" customWidth="1"/>
    <col min="2828" max="2828" width="19.42578125" style="8" customWidth="1"/>
    <col min="2829" max="2829" width="17" style="8" customWidth="1"/>
    <col min="2830" max="3077" width="9.140625" style="8"/>
    <col min="3078" max="3078" width="7.140625" style="8" customWidth="1"/>
    <col min="3079" max="3079" width="25.7109375" style="8" customWidth="1"/>
    <col min="3080" max="3080" width="17.42578125" style="8" customWidth="1"/>
    <col min="3081" max="3081" width="8" style="8" customWidth="1"/>
    <col min="3082" max="3082" width="13.7109375" style="8" customWidth="1"/>
    <col min="3083" max="3083" width="17.5703125" style="8" customWidth="1"/>
    <col min="3084" max="3084" width="19.42578125" style="8" customWidth="1"/>
    <col min="3085" max="3085" width="17" style="8" customWidth="1"/>
    <col min="3086" max="3333" width="9.140625" style="8"/>
    <col min="3334" max="3334" width="7.140625" style="8" customWidth="1"/>
    <col min="3335" max="3335" width="25.7109375" style="8" customWidth="1"/>
    <col min="3336" max="3336" width="17.42578125" style="8" customWidth="1"/>
    <col min="3337" max="3337" width="8" style="8" customWidth="1"/>
    <col min="3338" max="3338" width="13.7109375" style="8" customWidth="1"/>
    <col min="3339" max="3339" width="17.5703125" style="8" customWidth="1"/>
    <col min="3340" max="3340" width="19.42578125" style="8" customWidth="1"/>
    <col min="3341" max="3341" width="17" style="8" customWidth="1"/>
    <col min="3342" max="3589" width="9.140625" style="8"/>
    <col min="3590" max="3590" width="7.140625" style="8" customWidth="1"/>
    <col min="3591" max="3591" width="25.7109375" style="8" customWidth="1"/>
    <col min="3592" max="3592" width="17.42578125" style="8" customWidth="1"/>
    <col min="3593" max="3593" width="8" style="8" customWidth="1"/>
    <col min="3594" max="3594" width="13.7109375" style="8" customWidth="1"/>
    <col min="3595" max="3595" width="17.5703125" style="8" customWidth="1"/>
    <col min="3596" max="3596" width="19.42578125" style="8" customWidth="1"/>
    <col min="3597" max="3597" width="17" style="8" customWidth="1"/>
    <col min="3598" max="3845" width="9.140625" style="8"/>
    <col min="3846" max="3846" width="7.140625" style="8" customWidth="1"/>
    <col min="3847" max="3847" width="25.7109375" style="8" customWidth="1"/>
    <col min="3848" max="3848" width="17.42578125" style="8" customWidth="1"/>
    <col min="3849" max="3849" width="8" style="8" customWidth="1"/>
    <col min="3850" max="3850" width="13.7109375" style="8" customWidth="1"/>
    <col min="3851" max="3851" width="17.5703125" style="8" customWidth="1"/>
    <col min="3852" max="3852" width="19.42578125" style="8" customWidth="1"/>
    <col min="3853" max="3853" width="17" style="8" customWidth="1"/>
    <col min="3854" max="4101" width="9.140625" style="8"/>
    <col min="4102" max="4102" width="7.140625" style="8" customWidth="1"/>
    <col min="4103" max="4103" width="25.7109375" style="8" customWidth="1"/>
    <col min="4104" max="4104" width="17.42578125" style="8" customWidth="1"/>
    <col min="4105" max="4105" width="8" style="8" customWidth="1"/>
    <col min="4106" max="4106" width="13.7109375" style="8" customWidth="1"/>
    <col min="4107" max="4107" width="17.5703125" style="8" customWidth="1"/>
    <col min="4108" max="4108" width="19.42578125" style="8" customWidth="1"/>
    <col min="4109" max="4109" width="17" style="8" customWidth="1"/>
    <col min="4110" max="4357" width="9.140625" style="8"/>
    <col min="4358" max="4358" width="7.140625" style="8" customWidth="1"/>
    <col min="4359" max="4359" width="25.7109375" style="8" customWidth="1"/>
    <col min="4360" max="4360" width="17.42578125" style="8" customWidth="1"/>
    <col min="4361" max="4361" width="8" style="8" customWidth="1"/>
    <col min="4362" max="4362" width="13.7109375" style="8" customWidth="1"/>
    <col min="4363" max="4363" width="17.5703125" style="8" customWidth="1"/>
    <col min="4364" max="4364" width="19.42578125" style="8" customWidth="1"/>
    <col min="4365" max="4365" width="17" style="8" customWidth="1"/>
    <col min="4366" max="4613" width="9.140625" style="8"/>
    <col min="4614" max="4614" width="7.140625" style="8" customWidth="1"/>
    <col min="4615" max="4615" width="25.7109375" style="8" customWidth="1"/>
    <col min="4616" max="4616" width="17.42578125" style="8" customWidth="1"/>
    <col min="4617" max="4617" width="8" style="8" customWidth="1"/>
    <col min="4618" max="4618" width="13.7109375" style="8" customWidth="1"/>
    <col min="4619" max="4619" width="17.5703125" style="8" customWidth="1"/>
    <col min="4620" max="4620" width="19.42578125" style="8" customWidth="1"/>
    <col min="4621" max="4621" width="17" style="8" customWidth="1"/>
    <col min="4622" max="4869" width="9.140625" style="8"/>
    <col min="4870" max="4870" width="7.140625" style="8" customWidth="1"/>
    <col min="4871" max="4871" width="25.7109375" style="8" customWidth="1"/>
    <col min="4872" max="4872" width="17.42578125" style="8" customWidth="1"/>
    <col min="4873" max="4873" width="8" style="8" customWidth="1"/>
    <col min="4874" max="4874" width="13.7109375" style="8" customWidth="1"/>
    <col min="4875" max="4875" width="17.5703125" style="8" customWidth="1"/>
    <col min="4876" max="4876" width="19.42578125" style="8" customWidth="1"/>
    <col min="4877" max="4877" width="17" style="8" customWidth="1"/>
    <col min="4878" max="5125" width="9.140625" style="8"/>
    <col min="5126" max="5126" width="7.140625" style="8" customWidth="1"/>
    <col min="5127" max="5127" width="25.7109375" style="8" customWidth="1"/>
    <col min="5128" max="5128" width="17.42578125" style="8" customWidth="1"/>
    <col min="5129" max="5129" width="8" style="8" customWidth="1"/>
    <col min="5130" max="5130" width="13.7109375" style="8" customWidth="1"/>
    <col min="5131" max="5131" width="17.5703125" style="8" customWidth="1"/>
    <col min="5132" max="5132" width="19.42578125" style="8" customWidth="1"/>
    <col min="5133" max="5133" width="17" style="8" customWidth="1"/>
    <col min="5134" max="5381" width="9.140625" style="8"/>
    <col min="5382" max="5382" width="7.140625" style="8" customWidth="1"/>
    <col min="5383" max="5383" width="25.7109375" style="8" customWidth="1"/>
    <col min="5384" max="5384" width="17.42578125" style="8" customWidth="1"/>
    <col min="5385" max="5385" width="8" style="8" customWidth="1"/>
    <col min="5386" max="5386" width="13.7109375" style="8" customWidth="1"/>
    <col min="5387" max="5387" width="17.5703125" style="8" customWidth="1"/>
    <col min="5388" max="5388" width="19.42578125" style="8" customWidth="1"/>
    <col min="5389" max="5389" width="17" style="8" customWidth="1"/>
    <col min="5390" max="5637" width="9.140625" style="8"/>
    <col min="5638" max="5638" width="7.140625" style="8" customWidth="1"/>
    <col min="5639" max="5639" width="25.7109375" style="8" customWidth="1"/>
    <col min="5640" max="5640" width="17.42578125" style="8" customWidth="1"/>
    <col min="5641" max="5641" width="8" style="8" customWidth="1"/>
    <col min="5642" max="5642" width="13.7109375" style="8" customWidth="1"/>
    <col min="5643" max="5643" width="17.5703125" style="8" customWidth="1"/>
    <col min="5644" max="5644" width="19.42578125" style="8" customWidth="1"/>
    <col min="5645" max="5645" width="17" style="8" customWidth="1"/>
    <col min="5646" max="5893" width="9.140625" style="8"/>
    <col min="5894" max="5894" width="7.140625" style="8" customWidth="1"/>
    <col min="5895" max="5895" width="25.7109375" style="8" customWidth="1"/>
    <col min="5896" max="5896" width="17.42578125" style="8" customWidth="1"/>
    <col min="5897" max="5897" width="8" style="8" customWidth="1"/>
    <col min="5898" max="5898" width="13.7109375" style="8" customWidth="1"/>
    <col min="5899" max="5899" width="17.5703125" style="8" customWidth="1"/>
    <col min="5900" max="5900" width="19.42578125" style="8" customWidth="1"/>
    <col min="5901" max="5901" width="17" style="8" customWidth="1"/>
    <col min="5902" max="6149" width="9.140625" style="8"/>
    <col min="6150" max="6150" width="7.140625" style="8" customWidth="1"/>
    <col min="6151" max="6151" width="25.7109375" style="8" customWidth="1"/>
    <col min="6152" max="6152" width="17.42578125" style="8" customWidth="1"/>
    <col min="6153" max="6153" width="8" style="8" customWidth="1"/>
    <col min="6154" max="6154" width="13.7109375" style="8" customWidth="1"/>
    <col min="6155" max="6155" width="17.5703125" style="8" customWidth="1"/>
    <col min="6156" max="6156" width="19.42578125" style="8" customWidth="1"/>
    <col min="6157" max="6157" width="17" style="8" customWidth="1"/>
    <col min="6158" max="6405" width="9.140625" style="8"/>
    <col min="6406" max="6406" width="7.140625" style="8" customWidth="1"/>
    <col min="6407" max="6407" width="25.7109375" style="8" customWidth="1"/>
    <col min="6408" max="6408" width="17.42578125" style="8" customWidth="1"/>
    <col min="6409" max="6409" width="8" style="8" customWidth="1"/>
    <col min="6410" max="6410" width="13.7109375" style="8" customWidth="1"/>
    <col min="6411" max="6411" width="17.5703125" style="8" customWidth="1"/>
    <col min="6412" max="6412" width="19.42578125" style="8" customWidth="1"/>
    <col min="6413" max="6413" width="17" style="8" customWidth="1"/>
    <col min="6414" max="6661" width="9.140625" style="8"/>
    <col min="6662" max="6662" width="7.140625" style="8" customWidth="1"/>
    <col min="6663" max="6663" width="25.7109375" style="8" customWidth="1"/>
    <col min="6664" max="6664" width="17.42578125" style="8" customWidth="1"/>
    <col min="6665" max="6665" width="8" style="8" customWidth="1"/>
    <col min="6666" max="6666" width="13.7109375" style="8" customWidth="1"/>
    <col min="6667" max="6667" width="17.5703125" style="8" customWidth="1"/>
    <col min="6668" max="6668" width="19.42578125" style="8" customWidth="1"/>
    <col min="6669" max="6669" width="17" style="8" customWidth="1"/>
    <col min="6670" max="6917" width="9.140625" style="8"/>
    <col min="6918" max="6918" width="7.140625" style="8" customWidth="1"/>
    <col min="6919" max="6919" width="25.7109375" style="8" customWidth="1"/>
    <col min="6920" max="6920" width="17.42578125" style="8" customWidth="1"/>
    <col min="6921" max="6921" width="8" style="8" customWidth="1"/>
    <col min="6922" max="6922" width="13.7109375" style="8" customWidth="1"/>
    <col min="6923" max="6923" width="17.5703125" style="8" customWidth="1"/>
    <col min="6924" max="6924" width="19.42578125" style="8" customWidth="1"/>
    <col min="6925" max="6925" width="17" style="8" customWidth="1"/>
    <col min="6926" max="7173" width="9.140625" style="8"/>
    <col min="7174" max="7174" width="7.140625" style="8" customWidth="1"/>
    <col min="7175" max="7175" width="25.7109375" style="8" customWidth="1"/>
    <col min="7176" max="7176" width="17.42578125" style="8" customWidth="1"/>
    <col min="7177" max="7177" width="8" style="8" customWidth="1"/>
    <col min="7178" max="7178" width="13.7109375" style="8" customWidth="1"/>
    <col min="7179" max="7179" width="17.5703125" style="8" customWidth="1"/>
    <col min="7180" max="7180" width="19.42578125" style="8" customWidth="1"/>
    <col min="7181" max="7181" width="17" style="8" customWidth="1"/>
    <col min="7182" max="7429" width="9.140625" style="8"/>
    <col min="7430" max="7430" width="7.140625" style="8" customWidth="1"/>
    <col min="7431" max="7431" width="25.7109375" style="8" customWidth="1"/>
    <col min="7432" max="7432" width="17.42578125" style="8" customWidth="1"/>
    <col min="7433" max="7433" width="8" style="8" customWidth="1"/>
    <col min="7434" max="7434" width="13.7109375" style="8" customWidth="1"/>
    <col min="7435" max="7435" width="17.5703125" style="8" customWidth="1"/>
    <col min="7436" max="7436" width="19.42578125" style="8" customWidth="1"/>
    <col min="7437" max="7437" width="17" style="8" customWidth="1"/>
    <col min="7438" max="7685" width="9.140625" style="8"/>
    <col min="7686" max="7686" width="7.140625" style="8" customWidth="1"/>
    <col min="7687" max="7687" width="25.7109375" style="8" customWidth="1"/>
    <col min="7688" max="7688" width="17.42578125" style="8" customWidth="1"/>
    <col min="7689" max="7689" width="8" style="8" customWidth="1"/>
    <col min="7690" max="7690" width="13.7109375" style="8" customWidth="1"/>
    <col min="7691" max="7691" width="17.5703125" style="8" customWidth="1"/>
    <col min="7692" max="7692" width="19.42578125" style="8" customWidth="1"/>
    <col min="7693" max="7693" width="17" style="8" customWidth="1"/>
    <col min="7694" max="7941" width="9.140625" style="8"/>
    <col min="7942" max="7942" width="7.140625" style="8" customWidth="1"/>
    <col min="7943" max="7943" width="25.7109375" style="8" customWidth="1"/>
    <col min="7944" max="7944" width="17.42578125" style="8" customWidth="1"/>
    <col min="7945" max="7945" width="8" style="8" customWidth="1"/>
    <col min="7946" max="7946" width="13.7109375" style="8" customWidth="1"/>
    <col min="7947" max="7947" width="17.5703125" style="8" customWidth="1"/>
    <col min="7948" max="7948" width="19.42578125" style="8" customWidth="1"/>
    <col min="7949" max="7949" width="17" style="8" customWidth="1"/>
    <col min="7950" max="8197" width="9.140625" style="8"/>
    <col min="8198" max="8198" width="7.140625" style="8" customWidth="1"/>
    <col min="8199" max="8199" width="25.7109375" style="8" customWidth="1"/>
    <col min="8200" max="8200" width="17.42578125" style="8" customWidth="1"/>
    <col min="8201" max="8201" width="8" style="8" customWidth="1"/>
    <col min="8202" max="8202" width="13.7109375" style="8" customWidth="1"/>
    <col min="8203" max="8203" width="17.5703125" style="8" customWidth="1"/>
    <col min="8204" max="8204" width="19.42578125" style="8" customWidth="1"/>
    <col min="8205" max="8205" width="17" style="8" customWidth="1"/>
    <col min="8206" max="8453" width="9.140625" style="8"/>
    <col min="8454" max="8454" width="7.140625" style="8" customWidth="1"/>
    <col min="8455" max="8455" width="25.7109375" style="8" customWidth="1"/>
    <col min="8456" max="8456" width="17.42578125" style="8" customWidth="1"/>
    <col min="8457" max="8457" width="8" style="8" customWidth="1"/>
    <col min="8458" max="8458" width="13.7109375" style="8" customWidth="1"/>
    <col min="8459" max="8459" width="17.5703125" style="8" customWidth="1"/>
    <col min="8460" max="8460" width="19.42578125" style="8" customWidth="1"/>
    <col min="8461" max="8461" width="17" style="8" customWidth="1"/>
    <col min="8462" max="8709" width="9.140625" style="8"/>
    <col min="8710" max="8710" width="7.140625" style="8" customWidth="1"/>
    <col min="8711" max="8711" width="25.7109375" style="8" customWidth="1"/>
    <col min="8712" max="8712" width="17.42578125" style="8" customWidth="1"/>
    <col min="8713" max="8713" width="8" style="8" customWidth="1"/>
    <col min="8714" max="8714" width="13.7109375" style="8" customWidth="1"/>
    <col min="8715" max="8715" width="17.5703125" style="8" customWidth="1"/>
    <col min="8716" max="8716" width="19.42578125" style="8" customWidth="1"/>
    <col min="8717" max="8717" width="17" style="8" customWidth="1"/>
    <col min="8718" max="8965" width="9.140625" style="8"/>
    <col min="8966" max="8966" width="7.140625" style="8" customWidth="1"/>
    <col min="8967" max="8967" width="25.7109375" style="8" customWidth="1"/>
    <col min="8968" max="8968" width="17.42578125" style="8" customWidth="1"/>
    <col min="8969" max="8969" width="8" style="8" customWidth="1"/>
    <col min="8970" max="8970" width="13.7109375" style="8" customWidth="1"/>
    <col min="8971" max="8971" width="17.5703125" style="8" customWidth="1"/>
    <col min="8972" max="8972" width="19.42578125" style="8" customWidth="1"/>
    <col min="8973" max="8973" width="17" style="8" customWidth="1"/>
    <col min="8974" max="9221" width="9.140625" style="8"/>
    <col min="9222" max="9222" width="7.140625" style="8" customWidth="1"/>
    <col min="9223" max="9223" width="25.7109375" style="8" customWidth="1"/>
    <col min="9224" max="9224" width="17.42578125" style="8" customWidth="1"/>
    <col min="9225" max="9225" width="8" style="8" customWidth="1"/>
    <col min="9226" max="9226" width="13.7109375" style="8" customWidth="1"/>
    <col min="9227" max="9227" width="17.5703125" style="8" customWidth="1"/>
    <col min="9228" max="9228" width="19.42578125" style="8" customWidth="1"/>
    <col min="9229" max="9229" width="17" style="8" customWidth="1"/>
    <col min="9230" max="9477" width="9.140625" style="8"/>
    <col min="9478" max="9478" width="7.140625" style="8" customWidth="1"/>
    <col min="9479" max="9479" width="25.7109375" style="8" customWidth="1"/>
    <col min="9480" max="9480" width="17.42578125" style="8" customWidth="1"/>
    <col min="9481" max="9481" width="8" style="8" customWidth="1"/>
    <col min="9482" max="9482" width="13.7109375" style="8" customWidth="1"/>
    <col min="9483" max="9483" width="17.5703125" style="8" customWidth="1"/>
    <col min="9484" max="9484" width="19.42578125" style="8" customWidth="1"/>
    <col min="9485" max="9485" width="17" style="8" customWidth="1"/>
    <col min="9486" max="9733" width="9.140625" style="8"/>
    <col min="9734" max="9734" width="7.140625" style="8" customWidth="1"/>
    <col min="9735" max="9735" width="25.7109375" style="8" customWidth="1"/>
    <col min="9736" max="9736" width="17.42578125" style="8" customWidth="1"/>
    <col min="9737" max="9737" width="8" style="8" customWidth="1"/>
    <col min="9738" max="9738" width="13.7109375" style="8" customWidth="1"/>
    <col min="9739" max="9739" width="17.5703125" style="8" customWidth="1"/>
    <col min="9740" max="9740" width="19.42578125" style="8" customWidth="1"/>
    <col min="9741" max="9741" width="17" style="8" customWidth="1"/>
    <col min="9742" max="9989" width="9.140625" style="8"/>
    <col min="9990" max="9990" width="7.140625" style="8" customWidth="1"/>
    <col min="9991" max="9991" width="25.7109375" style="8" customWidth="1"/>
    <col min="9992" max="9992" width="17.42578125" style="8" customWidth="1"/>
    <col min="9993" max="9993" width="8" style="8" customWidth="1"/>
    <col min="9994" max="9994" width="13.7109375" style="8" customWidth="1"/>
    <col min="9995" max="9995" width="17.5703125" style="8" customWidth="1"/>
    <col min="9996" max="9996" width="19.42578125" style="8" customWidth="1"/>
    <col min="9997" max="9997" width="17" style="8" customWidth="1"/>
    <col min="9998" max="10245" width="9.140625" style="8"/>
    <col min="10246" max="10246" width="7.140625" style="8" customWidth="1"/>
    <col min="10247" max="10247" width="25.7109375" style="8" customWidth="1"/>
    <col min="10248" max="10248" width="17.42578125" style="8" customWidth="1"/>
    <col min="10249" max="10249" width="8" style="8" customWidth="1"/>
    <col min="10250" max="10250" width="13.7109375" style="8" customWidth="1"/>
    <col min="10251" max="10251" width="17.5703125" style="8" customWidth="1"/>
    <col min="10252" max="10252" width="19.42578125" style="8" customWidth="1"/>
    <col min="10253" max="10253" width="17" style="8" customWidth="1"/>
    <col min="10254" max="10501" width="9.140625" style="8"/>
    <col min="10502" max="10502" width="7.140625" style="8" customWidth="1"/>
    <col min="10503" max="10503" width="25.7109375" style="8" customWidth="1"/>
    <col min="10504" max="10504" width="17.42578125" style="8" customWidth="1"/>
    <col min="10505" max="10505" width="8" style="8" customWidth="1"/>
    <col min="10506" max="10506" width="13.7109375" style="8" customWidth="1"/>
    <col min="10507" max="10507" width="17.5703125" style="8" customWidth="1"/>
    <col min="10508" max="10508" width="19.42578125" style="8" customWidth="1"/>
    <col min="10509" max="10509" width="17" style="8" customWidth="1"/>
    <col min="10510" max="10757" width="9.140625" style="8"/>
    <col min="10758" max="10758" width="7.140625" style="8" customWidth="1"/>
    <col min="10759" max="10759" width="25.7109375" style="8" customWidth="1"/>
    <col min="10760" max="10760" width="17.42578125" style="8" customWidth="1"/>
    <col min="10761" max="10761" width="8" style="8" customWidth="1"/>
    <col min="10762" max="10762" width="13.7109375" style="8" customWidth="1"/>
    <col min="10763" max="10763" width="17.5703125" style="8" customWidth="1"/>
    <col min="10764" max="10764" width="19.42578125" style="8" customWidth="1"/>
    <col min="10765" max="10765" width="17" style="8" customWidth="1"/>
    <col min="10766" max="11013" width="9.140625" style="8"/>
    <col min="11014" max="11014" width="7.140625" style="8" customWidth="1"/>
    <col min="11015" max="11015" width="25.7109375" style="8" customWidth="1"/>
    <col min="11016" max="11016" width="17.42578125" style="8" customWidth="1"/>
    <col min="11017" max="11017" width="8" style="8" customWidth="1"/>
    <col min="11018" max="11018" width="13.7109375" style="8" customWidth="1"/>
    <col min="11019" max="11019" width="17.5703125" style="8" customWidth="1"/>
    <col min="11020" max="11020" width="19.42578125" style="8" customWidth="1"/>
    <col min="11021" max="11021" width="17" style="8" customWidth="1"/>
    <col min="11022" max="11269" width="9.140625" style="8"/>
    <col min="11270" max="11270" width="7.140625" style="8" customWidth="1"/>
    <col min="11271" max="11271" width="25.7109375" style="8" customWidth="1"/>
    <col min="11272" max="11272" width="17.42578125" style="8" customWidth="1"/>
    <col min="11273" max="11273" width="8" style="8" customWidth="1"/>
    <col min="11274" max="11274" width="13.7109375" style="8" customWidth="1"/>
    <col min="11275" max="11275" width="17.5703125" style="8" customWidth="1"/>
    <col min="11276" max="11276" width="19.42578125" style="8" customWidth="1"/>
    <col min="11277" max="11277" width="17" style="8" customWidth="1"/>
    <col min="11278" max="11525" width="9.140625" style="8"/>
    <col min="11526" max="11526" width="7.140625" style="8" customWidth="1"/>
    <col min="11527" max="11527" width="25.7109375" style="8" customWidth="1"/>
    <col min="11528" max="11528" width="17.42578125" style="8" customWidth="1"/>
    <col min="11529" max="11529" width="8" style="8" customWidth="1"/>
    <col min="11530" max="11530" width="13.7109375" style="8" customWidth="1"/>
    <col min="11531" max="11531" width="17.5703125" style="8" customWidth="1"/>
    <col min="11532" max="11532" width="19.42578125" style="8" customWidth="1"/>
    <col min="11533" max="11533" width="17" style="8" customWidth="1"/>
    <col min="11534" max="11781" width="9.140625" style="8"/>
    <col min="11782" max="11782" width="7.140625" style="8" customWidth="1"/>
    <col min="11783" max="11783" width="25.7109375" style="8" customWidth="1"/>
    <col min="11784" max="11784" width="17.42578125" style="8" customWidth="1"/>
    <col min="11785" max="11785" width="8" style="8" customWidth="1"/>
    <col min="11786" max="11786" width="13.7109375" style="8" customWidth="1"/>
    <col min="11787" max="11787" width="17.5703125" style="8" customWidth="1"/>
    <col min="11788" max="11788" width="19.42578125" style="8" customWidth="1"/>
    <col min="11789" max="11789" width="17" style="8" customWidth="1"/>
    <col min="11790" max="12037" width="9.140625" style="8"/>
    <col min="12038" max="12038" width="7.140625" style="8" customWidth="1"/>
    <col min="12039" max="12039" width="25.7109375" style="8" customWidth="1"/>
    <col min="12040" max="12040" width="17.42578125" style="8" customWidth="1"/>
    <col min="12041" max="12041" width="8" style="8" customWidth="1"/>
    <col min="12042" max="12042" width="13.7109375" style="8" customWidth="1"/>
    <col min="12043" max="12043" width="17.5703125" style="8" customWidth="1"/>
    <col min="12044" max="12044" width="19.42578125" style="8" customWidth="1"/>
    <col min="12045" max="12045" width="17" style="8" customWidth="1"/>
    <col min="12046" max="12293" width="9.140625" style="8"/>
    <col min="12294" max="12294" width="7.140625" style="8" customWidth="1"/>
    <col min="12295" max="12295" width="25.7109375" style="8" customWidth="1"/>
    <col min="12296" max="12296" width="17.42578125" style="8" customWidth="1"/>
    <col min="12297" max="12297" width="8" style="8" customWidth="1"/>
    <col min="12298" max="12298" width="13.7109375" style="8" customWidth="1"/>
    <col min="12299" max="12299" width="17.5703125" style="8" customWidth="1"/>
    <col min="12300" max="12300" width="19.42578125" style="8" customWidth="1"/>
    <col min="12301" max="12301" width="17" style="8" customWidth="1"/>
    <col min="12302" max="12549" width="9.140625" style="8"/>
    <col min="12550" max="12550" width="7.140625" style="8" customWidth="1"/>
    <col min="12551" max="12551" width="25.7109375" style="8" customWidth="1"/>
    <col min="12552" max="12552" width="17.42578125" style="8" customWidth="1"/>
    <col min="12553" max="12553" width="8" style="8" customWidth="1"/>
    <col min="12554" max="12554" width="13.7109375" style="8" customWidth="1"/>
    <col min="12555" max="12555" width="17.5703125" style="8" customWidth="1"/>
    <col min="12556" max="12556" width="19.42578125" style="8" customWidth="1"/>
    <col min="12557" max="12557" width="17" style="8" customWidth="1"/>
    <col min="12558" max="12805" width="9.140625" style="8"/>
    <col min="12806" max="12806" width="7.140625" style="8" customWidth="1"/>
    <col min="12807" max="12807" width="25.7109375" style="8" customWidth="1"/>
    <col min="12808" max="12808" width="17.42578125" style="8" customWidth="1"/>
    <col min="12809" max="12809" width="8" style="8" customWidth="1"/>
    <col min="12810" max="12810" width="13.7109375" style="8" customWidth="1"/>
    <col min="12811" max="12811" width="17.5703125" style="8" customWidth="1"/>
    <col min="12812" max="12812" width="19.42578125" style="8" customWidth="1"/>
    <col min="12813" max="12813" width="17" style="8" customWidth="1"/>
    <col min="12814" max="13061" width="9.140625" style="8"/>
    <col min="13062" max="13062" width="7.140625" style="8" customWidth="1"/>
    <col min="13063" max="13063" width="25.7109375" style="8" customWidth="1"/>
    <col min="13064" max="13064" width="17.42578125" style="8" customWidth="1"/>
    <col min="13065" max="13065" width="8" style="8" customWidth="1"/>
    <col min="13066" max="13066" width="13.7109375" style="8" customWidth="1"/>
    <col min="13067" max="13067" width="17.5703125" style="8" customWidth="1"/>
    <col min="13068" max="13068" width="19.42578125" style="8" customWidth="1"/>
    <col min="13069" max="13069" width="17" style="8" customWidth="1"/>
    <col min="13070" max="13317" width="9.140625" style="8"/>
    <col min="13318" max="13318" width="7.140625" style="8" customWidth="1"/>
    <col min="13319" max="13319" width="25.7109375" style="8" customWidth="1"/>
    <col min="13320" max="13320" width="17.42578125" style="8" customWidth="1"/>
    <col min="13321" max="13321" width="8" style="8" customWidth="1"/>
    <col min="13322" max="13322" width="13.7109375" style="8" customWidth="1"/>
    <col min="13323" max="13323" width="17.5703125" style="8" customWidth="1"/>
    <col min="13324" max="13324" width="19.42578125" style="8" customWidth="1"/>
    <col min="13325" max="13325" width="17" style="8" customWidth="1"/>
    <col min="13326" max="13573" width="9.140625" style="8"/>
    <col min="13574" max="13574" width="7.140625" style="8" customWidth="1"/>
    <col min="13575" max="13575" width="25.7109375" style="8" customWidth="1"/>
    <col min="13576" max="13576" width="17.42578125" style="8" customWidth="1"/>
    <col min="13577" max="13577" width="8" style="8" customWidth="1"/>
    <col min="13578" max="13578" width="13.7109375" style="8" customWidth="1"/>
    <col min="13579" max="13579" width="17.5703125" style="8" customWidth="1"/>
    <col min="13580" max="13580" width="19.42578125" style="8" customWidth="1"/>
    <col min="13581" max="13581" width="17" style="8" customWidth="1"/>
    <col min="13582" max="13829" width="9.140625" style="8"/>
    <col min="13830" max="13830" width="7.140625" style="8" customWidth="1"/>
    <col min="13831" max="13831" width="25.7109375" style="8" customWidth="1"/>
    <col min="13832" max="13832" width="17.42578125" style="8" customWidth="1"/>
    <col min="13833" max="13833" width="8" style="8" customWidth="1"/>
    <col min="13834" max="13834" width="13.7109375" style="8" customWidth="1"/>
    <col min="13835" max="13835" width="17.5703125" style="8" customWidth="1"/>
    <col min="13836" max="13836" width="19.42578125" style="8" customWidth="1"/>
    <col min="13837" max="13837" width="17" style="8" customWidth="1"/>
    <col min="13838" max="14085" width="9.140625" style="8"/>
    <col min="14086" max="14086" width="7.140625" style="8" customWidth="1"/>
    <col min="14087" max="14087" width="25.7109375" style="8" customWidth="1"/>
    <col min="14088" max="14088" width="17.42578125" style="8" customWidth="1"/>
    <col min="14089" max="14089" width="8" style="8" customWidth="1"/>
    <col min="14090" max="14090" width="13.7109375" style="8" customWidth="1"/>
    <col min="14091" max="14091" width="17.5703125" style="8" customWidth="1"/>
    <col min="14092" max="14092" width="19.42578125" style="8" customWidth="1"/>
    <col min="14093" max="14093" width="17" style="8" customWidth="1"/>
    <col min="14094" max="14341" width="9.140625" style="8"/>
    <col min="14342" max="14342" width="7.140625" style="8" customWidth="1"/>
    <col min="14343" max="14343" width="25.7109375" style="8" customWidth="1"/>
    <col min="14344" max="14344" width="17.42578125" style="8" customWidth="1"/>
    <col min="14345" max="14345" width="8" style="8" customWidth="1"/>
    <col min="14346" max="14346" width="13.7109375" style="8" customWidth="1"/>
    <col min="14347" max="14347" width="17.5703125" style="8" customWidth="1"/>
    <col min="14348" max="14348" width="19.42578125" style="8" customWidth="1"/>
    <col min="14349" max="14349" width="17" style="8" customWidth="1"/>
    <col min="14350" max="14597" width="9.140625" style="8"/>
    <col min="14598" max="14598" width="7.140625" style="8" customWidth="1"/>
    <col min="14599" max="14599" width="25.7109375" style="8" customWidth="1"/>
    <col min="14600" max="14600" width="17.42578125" style="8" customWidth="1"/>
    <col min="14601" max="14601" width="8" style="8" customWidth="1"/>
    <col min="14602" max="14602" width="13.7109375" style="8" customWidth="1"/>
    <col min="14603" max="14603" width="17.5703125" style="8" customWidth="1"/>
    <col min="14604" max="14604" width="19.42578125" style="8" customWidth="1"/>
    <col min="14605" max="14605" width="17" style="8" customWidth="1"/>
    <col min="14606" max="14853" width="9.140625" style="8"/>
    <col min="14854" max="14854" width="7.140625" style="8" customWidth="1"/>
    <col min="14855" max="14855" width="25.7109375" style="8" customWidth="1"/>
    <col min="14856" max="14856" width="17.42578125" style="8" customWidth="1"/>
    <col min="14857" max="14857" width="8" style="8" customWidth="1"/>
    <col min="14858" max="14858" width="13.7109375" style="8" customWidth="1"/>
    <col min="14859" max="14859" width="17.5703125" style="8" customWidth="1"/>
    <col min="14860" max="14860" width="19.42578125" style="8" customWidth="1"/>
    <col min="14861" max="14861" width="17" style="8" customWidth="1"/>
    <col min="14862" max="15109" width="9.140625" style="8"/>
    <col min="15110" max="15110" width="7.140625" style="8" customWidth="1"/>
    <col min="15111" max="15111" width="25.7109375" style="8" customWidth="1"/>
    <col min="15112" max="15112" width="17.42578125" style="8" customWidth="1"/>
    <col min="15113" max="15113" width="8" style="8" customWidth="1"/>
    <col min="15114" max="15114" width="13.7109375" style="8" customWidth="1"/>
    <col min="15115" max="15115" width="17.5703125" style="8" customWidth="1"/>
    <col min="15116" max="15116" width="19.42578125" style="8" customWidth="1"/>
    <col min="15117" max="15117" width="17" style="8" customWidth="1"/>
    <col min="15118" max="15365" width="9.140625" style="8"/>
    <col min="15366" max="15366" width="7.140625" style="8" customWidth="1"/>
    <col min="15367" max="15367" width="25.7109375" style="8" customWidth="1"/>
    <col min="15368" max="15368" width="17.42578125" style="8" customWidth="1"/>
    <col min="15369" max="15369" width="8" style="8" customWidth="1"/>
    <col min="15370" max="15370" width="13.7109375" style="8" customWidth="1"/>
    <col min="15371" max="15371" width="17.5703125" style="8" customWidth="1"/>
    <col min="15372" max="15372" width="19.42578125" style="8" customWidth="1"/>
    <col min="15373" max="15373" width="17" style="8" customWidth="1"/>
    <col min="15374" max="15621" width="9.140625" style="8"/>
    <col min="15622" max="15622" width="7.140625" style="8" customWidth="1"/>
    <col min="15623" max="15623" width="25.7109375" style="8" customWidth="1"/>
    <col min="15624" max="15624" width="17.42578125" style="8" customWidth="1"/>
    <col min="15625" max="15625" width="8" style="8" customWidth="1"/>
    <col min="15626" max="15626" width="13.7109375" style="8" customWidth="1"/>
    <col min="15627" max="15627" width="17.5703125" style="8" customWidth="1"/>
    <col min="15628" max="15628" width="19.42578125" style="8" customWidth="1"/>
    <col min="15629" max="15629" width="17" style="8" customWidth="1"/>
    <col min="15630" max="15877" width="9.140625" style="8"/>
    <col min="15878" max="15878" width="7.140625" style="8" customWidth="1"/>
    <col min="15879" max="15879" width="25.7109375" style="8" customWidth="1"/>
    <col min="15880" max="15880" width="17.42578125" style="8" customWidth="1"/>
    <col min="15881" max="15881" width="8" style="8" customWidth="1"/>
    <col min="15882" max="15882" width="13.7109375" style="8" customWidth="1"/>
    <col min="15883" max="15883" width="17.5703125" style="8" customWidth="1"/>
    <col min="15884" max="15884" width="19.42578125" style="8" customWidth="1"/>
    <col min="15885" max="15885" width="17" style="8" customWidth="1"/>
    <col min="15886" max="16133" width="9.140625" style="8"/>
    <col min="16134" max="16134" width="7.140625" style="8" customWidth="1"/>
    <col min="16135" max="16135" width="25.7109375" style="8" customWidth="1"/>
    <col min="16136" max="16136" width="17.42578125" style="8" customWidth="1"/>
    <col min="16137" max="16137" width="8" style="8" customWidth="1"/>
    <col min="16138" max="16138" width="13.7109375" style="8" customWidth="1"/>
    <col min="16139" max="16139" width="17.5703125" style="8" customWidth="1"/>
    <col min="16140" max="16140" width="19.42578125" style="8" customWidth="1"/>
    <col min="16141" max="16141" width="17" style="8" customWidth="1"/>
    <col min="16142" max="16384" width="9.140625" style="8"/>
  </cols>
  <sheetData>
    <row r="2" spans="2:17" ht="34.5" customHeight="1" x14ac:dyDescent="0.2">
      <c r="B2" s="641" t="s">
        <v>1784</v>
      </c>
      <c r="C2" s="642"/>
      <c r="D2" s="642"/>
      <c r="E2" s="642"/>
      <c r="F2" s="642"/>
      <c r="G2" s="642"/>
      <c r="H2" s="642"/>
      <c r="I2" s="642"/>
      <c r="J2" s="642"/>
      <c r="K2" s="642"/>
      <c r="L2" s="642"/>
      <c r="N2" s="676"/>
      <c r="O2" s="677"/>
      <c r="P2" s="49"/>
    </row>
    <row r="3" spans="2:17" ht="9.75" customHeight="1" x14ac:dyDescent="0.2"/>
    <row r="4" spans="2:17" ht="20.25" customHeight="1" x14ac:dyDescent="0.25">
      <c r="B4" s="2" t="s">
        <v>99</v>
      </c>
      <c r="C4" s="2"/>
      <c r="D4" s="2"/>
      <c r="E4" s="630" t="str">
        <f>+'15Příloha_1_Rekapitulace'!C4</f>
        <v>Komplexní úklid Litomyšlské nemocnice společnosti Nemocnice Pardubického kraje, a.s.</v>
      </c>
      <c r="F4" s="3"/>
      <c r="G4" s="3"/>
      <c r="H4" s="4"/>
      <c r="I4" s="4"/>
      <c r="J4" s="4"/>
      <c r="K4" s="5"/>
      <c r="L4" s="5" t="s">
        <v>1769</v>
      </c>
    </row>
    <row r="5" spans="2:17" ht="11.25" customHeight="1" thickBot="1" x14ac:dyDescent="0.25">
      <c r="B5" s="33"/>
      <c r="C5" s="33"/>
      <c r="D5" s="33"/>
      <c r="E5" s="34"/>
      <c r="F5" s="35"/>
      <c r="G5" s="35"/>
      <c r="H5" s="36"/>
      <c r="I5" s="36"/>
      <c r="J5" s="36"/>
      <c r="K5" s="36"/>
      <c r="L5" s="33"/>
      <c r="N5" s="676"/>
      <c r="O5" s="677"/>
      <c r="P5" s="49"/>
    </row>
    <row r="6" spans="2:17" ht="21" customHeight="1" x14ac:dyDescent="0.2">
      <c r="B6" s="717" t="s">
        <v>45</v>
      </c>
      <c r="C6" s="720" t="s">
        <v>40</v>
      </c>
      <c r="D6" s="37"/>
      <c r="E6" s="38"/>
      <c r="F6" s="38"/>
      <c r="G6" s="38"/>
      <c r="H6" s="39"/>
      <c r="I6" s="709" t="s">
        <v>47</v>
      </c>
      <c r="J6" s="710"/>
      <c r="K6" s="710"/>
      <c r="L6" s="711"/>
      <c r="M6" s="678"/>
      <c r="N6" s="676"/>
      <c r="O6" s="677"/>
      <c r="P6" s="49"/>
    </row>
    <row r="7" spans="2:17" ht="21" customHeight="1" x14ac:dyDescent="0.2">
      <c r="B7" s="718"/>
      <c r="C7" s="721"/>
      <c r="D7" s="40"/>
      <c r="E7" s="41"/>
      <c r="F7" s="41" t="s">
        <v>46</v>
      </c>
      <c r="G7" s="41"/>
      <c r="H7" s="42"/>
      <c r="I7" s="712" t="s">
        <v>48</v>
      </c>
      <c r="J7" s="713"/>
      <c r="K7" s="712" t="s">
        <v>96</v>
      </c>
      <c r="L7" s="714"/>
      <c r="M7" s="678"/>
      <c r="N7" s="676"/>
      <c r="O7" s="677"/>
      <c r="P7" s="49"/>
    </row>
    <row r="8" spans="2:17" ht="21" customHeight="1" thickBot="1" x14ac:dyDescent="0.25">
      <c r="B8" s="719"/>
      <c r="C8" s="722"/>
      <c r="D8" s="43"/>
      <c r="E8" s="44"/>
      <c r="F8" s="44"/>
      <c r="G8" s="44"/>
      <c r="H8" s="45"/>
      <c r="I8" s="46" t="s">
        <v>18</v>
      </c>
      <c r="J8" s="47" t="s">
        <v>19</v>
      </c>
      <c r="K8" s="46" t="s">
        <v>18</v>
      </c>
      <c r="L8" s="48" t="s">
        <v>19</v>
      </c>
      <c r="M8" s="678"/>
      <c r="N8" s="676"/>
      <c r="O8" s="677"/>
      <c r="P8" s="49"/>
    </row>
    <row r="9" spans="2:17" s="49" customFormat="1" ht="36" customHeight="1" x14ac:dyDescent="0.2">
      <c r="B9" s="633" t="s">
        <v>78</v>
      </c>
      <c r="C9" s="634">
        <v>1</v>
      </c>
      <c r="D9" s="715" t="s">
        <v>77</v>
      </c>
      <c r="E9" s="716"/>
      <c r="F9" s="716"/>
      <c r="G9" s="716"/>
      <c r="H9" s="716"/>
      <c r="I9" s="685"/>
      <c r="J9" s="120">
        <f>ROUND(I9*1.21,2)</f>
        <v>0</v>
      </c>
      <c r="K9" s="120"/>
      <c r="L9" s="121"/>
      <c r="M9" s="678"/>
      <c r="N9" s="676"/>
      <c r="O9" s="677"/>
    </row>
    <row r="10" spans="2:17" s="49" customFormat="1" ht="36" customHeight="1" x14ac:dyDescent="0.2">
      <c r="B10" s="635" t="s">
        <v>2</v>
      </c>
      <c r="C10" s="636">
        <v>2</v>
      </c>
      <c r="D10" s="706" t="s">
        <v>79</v>
      </c>
      <c r="E10" s="707"/>
      <c r="F10" s="707"/>
      <c r="G10" s="707"/>
      <c r="H10" s="707"/>
      <c r="I10" s="686"/>
      <c r="J10" s="122">
        <f t="shared" ref="J10:L28" si="0">ROUND(I10*1.21,2)</f>
        <v>0</v>
      </c>
      <c r="K10" s="122"/>
      <c r="L10" s="50"/>
      <c r="M10" s="678"/>
      <c r="N10" s="676"/>
      <c r="O10" s="677"/>
    </row>
    <row r="11" spans="2:17" s="49" customFormat="1" ht="36" customHeight="1" x14ac:dyDescent="0.2">
      <c r="B11" s="635" t="s">
        <v>3</v>
      </c>
      <c r="C11" s="636">
        <v>3</v>
      </c>
      <c r="D11" s="706" t="s">
        <v>80</v>
      </c>
      <c r="E11" s="707"/>
      <c r="F11" s="707"/>
      <c r="G11" s="707"/>
      <c r="H11" s="707"/>
      <c r="I11" s="686"/>
      <c r="J11" s="122">
        <f t="shared" si="0"/>
        <v>0</v>
      </c>
      <c r="K11" s="122"/>
      <c r="L11" s="50"/>
      <c r="M11" s="678"/>
      <c r="N11" s="676"/>
      <c r="O11" s="677"/>
      <c r="Q11" s="679"/>
    </row>
    <row r="12" spans="2:17" s="49" customFormat="1" ht="36" customHeight="1" x14ac:dyDescent="0.2">
      <c r="B12" s="635" t="s">
        <v>9</v>
      </c>
      <c r="C12" s="636">
        <v>4</v>
      </c>
      <c r="D12" s="706" t="s">
        <v>81</v>
      </c>
      <c r="E12" s="707"/>
      <c r="F12" s="707"/>
      <c r="G12" s="707"/>
      <c r="H12" s="707"/>
      <c r="I12" s="686"/>
      <c r="J12" s="122">
        <f t="shared" si="0"/>
        <v>0</v>
      </c>
      <c r="K12" s="122"/>
      <c r="L12" s="50"/>
      <c r="M12" s="678"/>
      <c r="N12" s="676"/>
      <c r="O12" s="677"/>
      <c r="Q12" s="679"/>
    </row>
    <row r="13" spans="2:17" s="49" customFormat="1" ht="36" customHeight="1" x14ac:dyDescent="0.2">
      <c r="B13" s="635" t="s">
        <v>112</v>
      </c>
      <c r="C13" s="636">
        <v>5</v>
      </c>
      <c r="D13" s="706" t="s">
        <v>118</v>
      </c>
      <c r="E13" s="707"/>
      <c r="F13" s="707"/>
      <c r="G13" s="707"/>
      <c r="H13" s="707"/>
      <c r="I13" s="571"/>
      <c r="J13" s="122"/>
      <c r="K13" s="687"/>
      <c r="L13" s="51">
        <f t="shared" si="0"/>
        <v>0</v>
      </c>
      <c r="M13" s="678"/>
      <c r="N13" s="676"/>
    </row>
    <row r="14" spans="2:17" s="49" customFormat="1" ht="36" customHeight="1" x14ac:dyDescent="0.2">
      <c r="B14" s="635" t="s">
        <v>1</v>
      </c>
      <c r="C14" s="636">
        <v>6</v>
      </c>
      <c r="D14" s="706" t="s">
        <v>95</v>
      </c>
      <c r="E14" s="707"/>
      <c r="F14" s="707"/>
      <c r="G14" s="707"/>
      <c r="H14" s="707"/>
      <c r="I14" s="686"/>
      <c r="J14" s="122">
        <f t="shared" si="0"/>
        <v>0</v>
      </c>
      <c r="K14" s="122"/>
      <c r="L14" s="52"/>
      <c r="M14" s="678"/>
      <c r="N14" s="676"/>
    </row>
    <row r="15" spans="2:17" s="49" customFormat="1" ht="36" customHeight="1" x14ac:dyDescent="0.2">
      <c r="B15" s="635" t="s">
        <v>14</v>
      </c>
      <c r="C15" s="636">
        <v>7</v>
      </c>
      <c r="D15" s="706" t="s">
        <v>94</v>
      </c>
      <c r="E15" s="707"/>
      <c r="F15" s="707"/>
      <c r="G15" s="707"/>
      <c r="H15" s="707"/>
      <c r="I15" s="686"/>
      <c r="J15" s="122">
        <f t="shared" si="0"/>
        <v>0</v>
      </c>
      <c r="K15" s="122"/>
      <c r="L15" s="52"/>
      <c r="M15" s="678"/>
      <c r="N15" s="676"/>
    </row>
    <row r="16" spans="2:17" s="49" customFormat="1" ht="36" customHeight="1" x14ac:dyDescent="0.2">
      <c r="B16" s="635" t="s">
        <v>11</v>
      </c>
      <c r="C16" s="636">
        <v>8</v>
      </c>
      <c r="D16" s="706" t="s">
        <v>12</v>
      </c>
      <c r="E16" s="707"/>
      <c r="F16" s="707"/>
      <c r="G16" s="707"/>
      <c r="H16" s="707"/>
      <c r="I16" s="686"/>
      <c r="J16" s="122">
        <f t="shared" si="0"/>
        <v>0</v>
      </c>
      <c r="K16" s="122"/>
      <c r="L16" s="52"/>
      <c r="M16" s="678"/>
      <c r="N16" s="676"/>
    </row>
    <row r="17" spans="2:14" s="49" customFormat="1" ht="36" customHeight="1" x14ac:dyDescent="0.2">
      <c r="B17" s="635" t="s">
        <v>10</v>
      </c>
      <c r="C17" s="636">
        <v>9</v>
      </c>
      <c r="D17" s="706" t="s">
        <v>82</v>
      </c>
      <c r="E17" s="707"/>
      <c r="F17" s="707"/>
      <c r="G17" s="707"/>
      <c r="H17" s="707"/>
      <c r="I17" s="686"/>
      <c r="J17" s="122">
        <f t="shared" si="0"/>
        <v>0</v>
      </c>
      <c r="K17" s="122"/>
      <c r="L17" s="52"/>
      <c r="M17" s="678"/>
      <c r="N17" s="676"/>
    </row>
    <row r="18" spans="2:14" s="49" customFormat="1" ht="36" customHeight="1" x14ac:dyDescent="0.2">
      <c r="B18" s="635" t="s">
        <v>0</v>
      </c>
      <c r="C18" s="636">
        <v>10</v>
      </c>
      <c r="D18" s="706" t="s">
        <v>83</v>
      </c>
      <c r="E18" s="707"/>
      <c r="F18" s="707"/>
      <c r="G18" s="707"/>
      <c r="H18" s="707"/>
      <c r="I18" s="686"/>
      <c r="J18" s="122">
        <f t="shared" si="0"/>
        <v>0</v>
      </c>
      <c r="K18" s="122"/>
      <c r="L18" s="52"/>
      <c r="M18" s="678"/>
      <c r="N18" s="676"/>
    </row>
    <row r="19" spans="2:14" s="49" customFormat="1" ht="36" customHeight="1" x14ac:dyDescent="0.2">
      <c r="B19" s="635" t="s">
        <v>7</v>
      </c>
      <c r="C19" s="636">
        <v>11</v>
      </c>
      <c r="D19" s="706" t="s">
        <v>8</v>
      </c>
      <c r="E19" s="707"/>
      <c r="F19" s="707"/>
      <c r="G19" s="707"/>
      <c r="H19" s="707"/>
      <c r="I19" s="686"/>
      <c r="J19" s="122">
        <f t="shared" si="0"/>
        <v>0</v>
      </c>
      <c r="K19" s="122"/>
      <c r="L19" s="52"/>
      <c r="M19" s="678"/>
      <c r="N19" s="676"/>
    </row>
    <row r="20" spans="2:14" s="49" customFormat="1" ht="36" customHeight="1" x14ac:dyDescent="0.2">
      <c r="B20" s="635" t="s">
        <v>4</v>
      </c>
      <c r="C20" s="636">
        <v>12</v>
      </c>
      <c r="D20" s="706" t="s">
        <v>119</v>
      </c>
      <c r="E20" s="707"/>
      <c r="F20" s="707"/>
      <c r="G20" s="707"/>
      <c r="H20" s="707"/>
      <c r="I20" s="686"/>
      <c r="J20" s="122">
        <f t="shared" si="0"/>
        <v>0</v>
      </c>
      <c r="K20" s="122"/>
      <c r="L20" s="52"/>
      <c r="M20" s="678"/>
      <c r="N20" s="676"/>
    </row>
    <row r="21" spans="2:14" s="49" customFormat="1" ht="36" customHeight="1" x14ac:dyDescent="0.2">
      <c r="B21" s="635" t="s">
        <v>5</v>
      </c>
      <c r="C21" s="636">
        <v>13</v>
      </c>
      <c r="D21" s="706" t="s">
        <v>84</v>
      </c>
      <c r="E21" s="707"/>
      <c r="F21" s="707"/>
      <c r="G21" s="707"/>
      <c r="H21" s="707"/>
      <c r="I21" s="686"/>
      <c r="J21" s="122">
        <f t="shared" si="0"/>
        <v>0</v>
      </c>
      <c r="K21" s="122"/>
      <c r="L21" s="52"/>
      <c r="M21" s="678"/>
      <c r="N21" s="676"/>
    </row>
    <row r="22" spans="2:14" s="49" customFormat="1" ht="36" customHeight="1" x14ac:dyDescent="0.2">
      <c r="B22" s="635" t="s">
        <v>92</v>
      </c>
      <c r="C22" s="636">
        <v>14</v>
      </c>
      <c r="D22" s="706" t="s">
        <v>101</v>
      </c>
      <c r="E22" s="707"/>
      <c r="F22" s="707"/>
      <c r="G22" s="707"/>
      <c r="H22" s="707"/>
      <c r="I22" s="686"/>
      <c r="J22" s="122">
        <f t="shared" si="0"/>
        <v>0</v>
      </c>
      <c r="K22" s="122"/>
      <c r="L22" s="53"/>
      <c r="M22" s="678"/>
      <c r="N22" s="676"/>
    </row>
    <row r="23" spans="2:14" s="49" customFormat="1" ht="36" customHeight="1" x14ac:dyDescent="0.2">
      <c r="B23" s="635" t="s">
        <v>90</v>
      </c>
      <c r="C23" s="636">
        <v>15</v>
      </c>
      <c r="D23" s="706" t="s">
        <v>120</v>
      </c>
      <c r="E23" s="707"/>
      <c r="F23" s="707"/>
      <c r="G23" s="707"/>
      <c r="H23" s="707"/>
      <c r="I23" s="686"/>
      <c r="J23" s="122">
        <f t="shared" si="0"/>
        <v>0</v>
      </c>
      <c r="K23" s="122"/>
      <c r="L23" s="53"/>
      <c r="M23" s="678"/>
      <c r="N23" s="676"/>
    </row>
    <row r="24" spans="2:14" s="49" customFormat="1" ht="36" customHeight="1" x14ac:dyDescent="0.2">
      <c r="B24" s="635" t="s">
        <v>6</v>
      </c>
      <c r="C24" s="636">
        <v>16</v>
      </c>
      <c r="D24" s="706" t="s">
        <v>85</v>
      </c>
      <c r="E24" s="707"/>
      <c r="F24" s="707"/>
      <c r="G24" s="707"/>
      <c r="H24" s="707"/>
      <c r="I24" s="686"/>
      <c r="J24" s="122">
        <f t="shared" si="0"/>
        <v>0</v>
      </c>
      <c r="K24" s="122"/>
      <c r="L24" s="52"/>
      <c r="M24" s="678"/>
      <c r="N24" s="676"/>
    </row>
    <row r="25" spans="2:14" s="49" customFormat="1" ht="36" customHeight="1" x14ac:dyDescent="0.2">
      <c r="B25" s="635" t="s">
        <v>13</v>
      </c>
      <c r="C25" s="636">
        <v>17</v>
      </c>
      <c r="D25" s="706" t="s">
        <v>86</v>
      </c>
      <c r="E25" s="707"/>
      <c r="F25" s="707"/>
      <c r="G25" s="707"/>
      <c r="H25" s="707"/>
      <c r="I25" s="686"/>
      <c r="J25" s="122">
        <f t="shared" si="0"/>
        <v>0</v>
      </c>
      <c r="K25" s="122"/>
      <c r="L25" s="52"/>
      <c r="M25" s="678"/>
      <c r="N25" s="676"/>
    </row>
    <row r="26" spans="2:14" s="49" customFormat="1" ht="36" customHeight="1" x14ac:dyDescent="0.2">
      <c r="B26" s="637" t="s">
        <v>16</v>
      </c>
      <c r="C26" s="636">
        <v>18</v>
      </c>
      <c r="D26" s="706" t="s">
        <v>17</v>
      </c>
      <c r="E26" s="707"/>
      <c r="F26" s="707"/>
      <c r="G26" s="707"/>
      <c r="H26" s="707"/>
      <c r="I26" s="686"/>
      <c r="J26" s="122">
        <f t="shared" si="0"/>
        <v>0</v>
      </c>
      <c r="K26" s="124"/>
      <c r="L26" s="54"/>
      <c r="M26" s="678"/>
      <c r="N26" s="676"/>
    </row>
    <row r="27" spans="2:14" s="49" customFormat="1" ht="36" customHeight="1" x14ac:dyDescent="0.2">
      <c r="B27" s="637" t="s">
        <v>91</v>
      </c>
      <c r="C27" s="636">
        <v>19</v>
      </c>
      <c r="D27" s="706" t="s">
        <v>93</v>
      </c>
      <c r="E27" s="707"/>
      <c r="F27" s="707"/>
      <c r="G27" s="707"/>
      <c r="H27" s="707"/>
      <c r="I27" s="686"/>
      <c r="J27" s="122">
        <f t="shared" si="0"/>
        <v>0</v>
      </c>
      <c r="K27" s="124"/>
      <c r="L27" s="54"/>
      <c r="M27" s="678"/>
      <c r="N27" s="676"/>
    </row>
    <row r="28" spans="2:14" s="49" customFormat="1" ht="36" customHeight="1" x14ac:dyDescent="0.2">
      <c r="B28" s="637" t="s">
        <v>111</v>
      </c>
      <c r="C28" s="638">
        <v>20</v>
      </c>
      <c r="D28" s="706" t="s">
        <v>123</v>
      </c>
      <c r="E28" s="707"/>
      <c r="F28" s="707"/>
      <c r="G28" s="707"/>
      <c r="H28" s="707"/>
      <c r="I28" s="686"/>
      <c r="J28" s="122">
        <f t="shared" si="0"/>
        <v>0</v>
      </c>
      <c r="K28" s="124"/>
      <c r="L28" s="54"/>
      <c r="M28" s="678"/>
      <c r="N28" s="676"/>
    </row>
    <row r="29" spans="2:14" s="49" customFormat="1" ht="36" customHeight="1" x14ac:dyDescent="0.2">
      <c r="B29" s="637" t="s">
        <v>115</v>
      </c>
      <c r="C29" s="638">
        <v>21</v>
      </c>
      <c r="D29" s="724" t="s">
        <v>116</v>
      </c>
      <c r="E29" s="725"/>
      <c r="F29" s="725"/>
      <c r="G29" s="725"/>
      <c r="H29" s="725"/>
      <c r="I29" s="123"/>
      <c r="J29" s="123"/>
      <c r="K29" s="687"/>
      <c r="L29" s="51">
        <f t="shared" ref="L29" si="1">ROUND(K29*1.21,2)</f>
        <v>0</v>
      </c>
      <c r="M29" s="678"/>
      <c r="N29" s="676"/>
    </row>
    <row r="30" spans="2:14" s="49" customFormat="1" ht="36" customHeight="1" thickBot="1" x14ac:dyDescent="0.25">
      <c r="B30" s="639" t="s">
        <v>15</v>
      </c>
      <c r="C30" s="640">
        <v>22</v>
      </c>
      <c r="D30" s="727" t="s">
        <v>117</v>
      </c>
      <c r="E30" s="728"/>
      <c r="F30" s="728"/>
      <c r="G30" s="728"/>
      <c r="H30" s="728"/>
      <c r="I30" s="125"/>
      <c r="J30" s="125"/>
      <c r="K30" s="688"/>
      <c r="L30" s="55">
        <f t="shared" ref="L30" si="2">ROUND(K30*1.21,2)</f>
        <v>0</v>
      </c>
      <c r="M30" s="678"/>
      <c r="N30" s="676"/>
    </row>
    <row r="31" spans="2:14" ht="17.25" customHeight="1" x14ac:dyDescent="0.2"/>
    <row r="32" spans="2:14" ht="17.25" customHeight="1" x14ac:dyDescent="0.2">
      <c r="B32" s="643" t="s">
        <v>1770</v>
      </c>
    </row>
    <row r="33" spans="2:13" ht="17.25" customHeight="1" x14ac:dyDescent="0.2"/>
    <row r="34" spans="2:13" ht="23.25" customHeight="1" x14ac:dyDescent="0.2">
      <c r="B34" s="708" t="s">
        <v>1755</v>
      </c>
      <c r="C34" s="708"/>
      <c r="D34" s="708"/>
      <c r="E34" s="708"/>
      <c r="F34" s="708"/>
      <c r="G34" s="708"/>
      <c r="H34" s="708"/>
      <c r="I34" s="708"/>
      <c r="J34" s="708"/>
      <c r="K34" s="708"/>
      <c r="L34" s="708"/>
    </row>
    <row r="35" spans="2:13" ht="23.25" customHeight="1" x14ac:dyDescent="0.2">
      <c r="B35" s="708"/>
      <c r="C35" s="708"/>
      <c r="D35" s="708"/>
      <c r="E35" s="708"/>
      <c r="F35" s="708"/>
      <c r="G35" s="708"/>
      <c r="H35" s="708"/>
      <c r="I35" s="708"/>
      <c r="J35" s="708"/>
      <c r="K35" s="708"/>
      <c r="L35" s="708"/>
    </row>
    <row r="36" spans="2:13" ht="10.5" customHeight="1" x14ac:dyDescent="0.2">
      <c r="B36" s="644"/>
      <c r="C36" s="644"/>
      <c r="D36" s="644"/>
      <c r="E36" s="644"/>
      <c r="F36" s="644"/>
      <c r="G36" s="644"/>
      <c r="H36" s="644"/>
      <c r="I36" s="644"/>
      <c r="J36" s="644"/>
      <c r="K36" s="644"/>
      <c r="L36" s="644"/>
    </row>
    <row r="37" spans="2:13" ht="15" customHeight="1" x14ac:dyDescent="0.2">
      <c r="B37" s="708" t="s">
        <v>1762</v>
      </c>
      <c r="C37" s="708"/>
      <c r="D37" s="708"/>
      <c r="E37" s="708"/>
      <c r="F37" s="708"/>
      <c r="G37" s="708"/>
      <c r="H37" s="708"/>
      <c r="I37" s="708"/>
      <c r="J37" s="708"/>
      <c r="K37" s="708"/>
      <c r="L37" s="708"/>
    </row>
    <row r="38" spans="2:13" ht="15" customHeight="1" x14ac:dyDescent="0.2">
      <c r="B38" s="708"/>
      <c r="C38" s="708"/>
      <c r="D38" s="708"/>
      <c r="E38" s="708"/>
      <c r="F38" s="708"/>
      <c r="G38" s="708"/>
      <c r="H38" s="708"/>
      <c r="I38" s="708"/>
      <c r="J38" s="708"/>
      <c r="K38" s="708"/>
      <c r="L38" s="708"/>
    </row>
    <row r="39" spans="2:13" ht="9.75" customHeight="1" x14ac:dyDescent="0.2">
      <c r="B39" s="644"/>
      <c r="C39" s="644"/>
      <c r="D39" s="644"/>
      <c r="E39" s="644"/>
      <c r="F39" s="644"/>
      <c r="G39" s="644"/>
      <c r="H39" s="644"/>
      <c r="I39" s="644"/>
      <c r="J39" s="644"/>
      <c r="K39" s="644"/>
      <c r="L39" s="644"/>
    </row>
    <row r="40" spans="2:13" ht="21.75" customHeight="1" x14ac:dyDescent="0.2">
      <c r="B40" s="708" t="s">
        <v>1763</v>
      </c>
      <c r="C40" s="708"/>
      <c r="D40" s="708"/>
      <c r="E40" s="708"/>
      <c r="F40" s="708"/>
      <c r="G40" s="708"/>
      <c r="H40" s="708"/>
      <c r="I40" s="708"/>
      <c r="J40" s="708"/>
      <c r="K40" s="708"/>
      <c r="L40" s="708"/>
    </row>
    <row r="41" spans="2:13" ht="21.75" customHeight="1" x14ac:dyDescent="0.2">
      <c r="B41" s="708"/>
      <c r="C41" s="708"/>
      <c r="D41" s="708"/>
      <c r="E41" s="708"/>
      <c r="F41" s="708"/>
      <c r="G41" s="708"/>
      <c r="H41" s="708"/>
      <c r="I41" s="708"/>
      <c r="J41" s="708"/>
      <c r="K41" s="708"/>
      <c r="L41" s="708"/>
    </row>
    <row r="42" spans="2:13" ht="12.75" customHeight="1" x14ac:dyDescent="0.2">
      <c r="B42" s="644"/>
      <c r="C42" s="644"/>
      <c r="D42" s="644"/>
      <c r="E42" s="644"/>
      <c r="F42" s="644"/>
      <c r="G42" s="644"/>
      <c r="H42" s="644"/>
      <c r="I42" s="644"/>
      <c r="J42" s="644"/>
      <c r="K42" s="644"/>
      <c r="L42" s="644"/>
    </row>
    <row r="43" spans="2:13" ht="19.5" customHeight="1" x14ac:dyDescent="0.2">
      <c r="B43" s="726" t="s">
        <v>1764</v>
      </c>
      <c r="C43" s="708"/>
      <c r="D43" s="708"/>
      <c r="E43" s="708"/>
      <c r="F43" s="708"/>
      <c r="G43" s="708"/>
      <c r="H43" s="708"/>
      <c r="I43" s="708"/>
      <c r="J43" s="708"/>
      <c r="K43" s="708"/>
      <c r="L43" s="708"/>
      <c r="M43" s="680"/>
    </row>
    <row r="44" spans="2:13" ht="19.5" customHeight="1" x14ac:dyDescent="0.2">
      <c r="B44" s="708"/>
      <c r="C44" s="708"/>
      <c r="D44" s="708"/>
      <c r="E44" s="708"/>
      <c r="F44" s="708"/>
      <c r="G44" s="708"/>
      <c r="H44" s="708"/>
      <c r="I44" s="708"/>
      <c r="J44" s="708"/>
      <c r="K44" s="708"/>
      <c r="L44" s="708"/>
      <c r="M44" s="681"/>
    </row>
    <row r="45" spans="2:13" ht="15" x14ac:dyDescent="0.2">
      <c r="B45" s="644"/>
      <c r="C45" s="644"/>
      <c r="D45" s="644"/>
      <c r="E45" s="644"/>
      <c r="F45" s="644"/>
      <c r="G45" s="644"/>
      <c r="H45" s="644"/>
      <c r="I45" s="644"/>
      <c r="J45" s="644"/>
      <c r="K45" s="644"/>
      <c r="L45" s="644"/>
      <c r="M45" s="681"/>
    </row>
    <row r="46" spans="2:13" ht="30.75" customHeight="1" x14ac:dyDescent="0.2">
      <c r="B46" s="708" t="s">
        <v>1756</v>
      </c>
      <c r="C46" s="708"/>
      <c r="D46" s="708"/>
      <c r="E46" s="708"/>
      <c r="F46" s="708"/>
      <c r="G46" s="708"/>
      <c r="H46" s="708"/>
      <c r="I46" s="708"/>
      <c r="J46" s="708"/>
      <c r="K46" s="708"/>
      <c r="L46" s="708"/>
    </row>
    <row r="47" spans="2:13" ht="30.75" customHeight="1" x14ac:dyDescent="0.2">
      <c r="B47" s="708"/>
      <c r="C47" s="708"/>
      <c r="D47" s="708"/>
      <c r="E47" s="708"/>
      <c r="F47" s="708"/>
      <c r="G47" s="708"/>
      <c r="H47" s="708"/>
      <c r="I47" s="708"/>
      <c r="J47" s="708"/>
      <c r="K47" s="708"/>
      <c r="L47" s="708"/>
    </row>
    <row r="49" spans="2:12" ht="18.75" customHeight="1" x14ac:dyDescent="0.2">
      <c r="B49" s="56" t="s">
        <v>1765</v>
      </c>
      <c r="C49" s="57"/>
      <c r="D49" s="57"/>
      <c r="E49" s="57"/>
      <c r="F49" s="57"/>
      <c r="G49" s="57"/>
      <c r="H49" s="57"/>
      <c r="I49" s="57"/>
      <c r="J49" s="57"/>
      <c r="K49" s="57"/>
      <c r="L49" s="57"/>
    </row>
    <row r="51" spans="2:12" ht="33.75" customHeight="1" x14ac:dyDescent="0.2">
      <c r="B51" s="729" t="s">
        <v>1766</v>
      </c>
      <c r="C51" s="729"/>
      <c r="D51" s="729"/>
      <c r="E51" s="729"/>
      <c r="F51" s="729"/>
      <c r="G51" s="729"/>
      <c r="H51" s="729"/>
      <c r="I51" s="729"/>
      <c r="J51" s="729"/>
      <c r="K51" s="729"/>
      <c r="L51" s="729"/>
    </row>
    <row r="53" spans="2:12" ht="19.5" customHeight="1" x14ac:dyDescent="0.2">
      <c r="B53" s="730" t="s">
        <v>126</v>
      </c>
      <c r="C53" s="730"/>
      <c r="D53" s="730"/>
      <c r="E53" s="730"/>
      <c r="F53" s="730"/>
      <c r="G53" s="730"/>
      <c r="H53" s="730"/>
      <c r="I53" s="730"/>
      <c r="J53" s="730"/>
      <c r="K53" s="730"/>
      <c r="L53" s="730"/>
    </row>
    <row r="55" spans="2:12" ht="14.25" x14ac:dyDescent="0.2">
      <c r="B55" s="58" t="s">
        <v>121</v>
      </c>
      <c r="C55" s="58"/>
      <c r="D55" s="59"/>
      <c r="E55" s="60"/>
      <c r="F55" s="61"/>
    </row>
    <row r="56" spans="2:12" x14ac:dyDescent="0.2">
      <c r="B56" s="58" t="s">
        <v>122</v>
      </c>
      <c r="C56" s="58"/>
      <c r="D56" s="59"/>
      <c r="E56" s="60"/>
      <c r="F56" s="61"/>
    </row>
    <row r="57" spans="2:12" x14ac:dyDescent="0.2">
      <c r="B57" s="59"/>
      <c r="C57" s="59"/>
      <c r="D57" s="59"/>
      <c r="E57" s="60"/>
      <c r="F57" s="61"/>
    </row>
    <row r="58" spans="2:12" x14ac:dyDescent="0.2">
      <c r="B58" s="62" t="s">
        <v>20</v>
      </c>
      <c r="C58" s="62"/>
      <c r="D58" s="63"/>
      <c r="E58" s="63"/>
      <c r="F58" s="63"/>
      <c r="G58" s="63"/>
      <c r="H58" s="63"/>
      <c r="I58" s="63"/>
      <c r="J58" s="63"/>
      <c r="K58" s="63"/>
      <c r="L58" s="64"/>
    </row>
    <row r="59" spans="2:12" x14ac:dyDescent="0.2">
      <c r="B59" s="65"/>
      <c r="C59" s="65"/>
      <c r="D59" s="63"/>
      <c r="E59" s="63"/>
      <c r="F59" s="63"/>
      <c r="G59" s="63"/>
      <c r="H59" s="63"/>
      <c r="I59" s="63"/>
      <c r="J59" s="63"/>
      <c r="K59" s="63"/>
      <c r="L59" s="64"/>
    </row>
    <row r="60" spans="2:12" ht="16.5" customHeight="1" x14ac:dyDescent="0.2">
      <c r="B60" s="66" t="s">
        <v>21</v>
      </c>
      <c r="C60" s="66"/>
      <c r="D60" s="723" t="s">
        <v>113</v>
      </c>
      <c r="E60" s="723"/>
      <c r="F60" s="723"/>
      <c r="G60" s="723"/>
      <c r="H60" s="723"/>
      <c r="I60" s="723"/>
      <c r="J60" s="723"/>
      <c r="K60" s="723"/>
      <c r="L60" s="723"/>
    </row>
    <row r="61" spans="2:12" ht="16.5" customHeight="1" x14ac:dyDescent="0.2">
      <c r="B61" s="66" t="s">
        <v>22</v>
      </c>
      <c r="C61" s="66"/>
      <c r="D61" s="723" t="s">
        <v>114</v>
      </c>
      <c r="E61" s="723"/>
      <c r="F61" s="723"/>
      <c r="G61" s="723"/>
      <c r="H61" s="723"/>
      <c r="I61" s="723"/>
      <c r="J61" s="723"/>
      <c r="K61" s="723"/>
      <c r="L61" s="723"/>
    </row>
    <row r="62" spans="2:12" ht="16.5" customHeight="1" x14ac:dyDescent="0.2">
      <c r="B62" s="66"/>
      <c r="C62" s="66"/>
      <c r="D62" s="723" t="s">
        <v>1757</v>
      </c>
      <c r="E62" s="723"/>
      <c r="F62" s="723"/>
      <c r="G62" s="723"/>
      <c r="H62" s="723"/>
      <c r="I62" s="723"/>
      <c r="J62" s="723"/>
      <c r="K62" s="723"/>
      <c r="L62" s="723"/>
    </row>
    <row r="63" spans="2:12" ht="16.5" customHeight="1" x14ac:dyDescent="0.2">
      <c r="B63" s="66" t="s">
        <v>66</v>
      </c>
      <c r="C63" s="66"/>
      <c r="D63" s="723" t="s">
        <v>125</v>
      </c>
      <c r="E63" s="723"/>
      <c r="F63" s="723"/>
      <c r="G63" s="723"/>
      <c r="H63" s="723"/>
      <c r="I63" s="723"/>
      <c r="J63" s="723"/>
      <c r="K63" s="723"/>
      <c r="L63" s="723"/>
    </row>
    <row r="65" spans="2:28" x14ac:dyDescent="0.2">
      <c r="B65" s="67" t="s">
        <v>23</v>
      </c>
      <c r="C65" s="67"/>
      <c r="D65" s="68" t="s">
        <v>24</v>
      </c>
    </row>
    <row r="66" spans="2:28" x14ac:dyDescent="0.2">
      <c r="B66" s="67" t="s">
        <v>25</v>
      </c>
      <c r="C66" s="67"/>
      <c r="D66" s="68" t="s">
        <v>26</v>
      </c>
    </row>
    <row r="67" spans="2:28" x14ac:dyDescent="0.2">
      <c r="B67" s="67" t="s">
        <v>27</v>
      </c>
      <c r="C67" s="67"/>
      <c r="D67" s="68" t="s">
        <v>28</v>
      </c>
    </row>
    <row r="68" spans="2:28" x14ac:dyDescent="0.2">
      <c r="B68" s="67" t="s">
        <v>29</v>
      </c>
      <c r="C68" s="67"/>
      <c r="D68" s="68" t="s">
        <v>30</v>
      </c>
    </row>
    <row r="69" spans="2:28" x14ac:dyDescent="0.2">
      <c r="B69" s="67" t="s">
        <v>31</v>
      </c>
      <c r="C69" s="67"/>
      <c r="D69" s="68" t="s">
        <v>32</v>
      </c>
    </row>
    <row r="70" spans="2:28" x14ac:dyDescent="0.2">
      <c r="B70" s="67" t="s">
        <v>33</v>
      </c>
      <c r="C70" s="67"/>
      <c r="D70" s="68" t="s">
        <v>34</v>
      </c>
    </row>
    <row r="71" spans="2:28" s="9" customFormat="1" x14ac:dyDescent="0.2">
      <c r="B71" s="67" t="s">
        <v>35</v>
      </c>
      <c r="C71" s="67"/>
      <c r="D71" s="68" t="s">
        <v>36</v>
      </c>
      <c r="F71" s="10"/>
      <c r="G71" s="10"/>
      <c r="H71" s="11"/>
      <c r="I71" s="11"/>
      <c r="J71" s="11"/>
      <c r="K71" s="11"/>
      <c r="L71" s="8"/>
    </row>
    <row r="72" spans="2:28" s="9" customFormat="1" x14ac:dyDescent="0.2">
      <c r="B72" s="67" t="s">
        <v>37</v>
      </c>
      <c r="C72" s="67"/>
      <c r="D72" s="68" t="s">
        <v>38</v>
      </c>
      <c r="F72" s="10"/>
      <c r="G72" s="10"/>
      <c r="H72" s="11"/>
      <c r="I72" s="11"/>
      <c r="J72" s="11"/>
      <c r="K72" s="11"/>
      <c r="L72" s="8"/>
    </row>
    <row r="75" spans="2:28" x14ac:dyDescent="0.2">
      <c r="M75" s="681"/>
      <c r="S75" s="682"/>
      <c r="T75" s="683"/>
      <c r="U75" s="683"/>
      <c r="V75" s="683"/>
      <c r="W75" s="683"/>
      <c r="X75" s="683"/>
      <c r="Y75" s="683"/>
      <c r="Z75" s="683"/>
      <c r="AA75" s="683"/>
      <c r="AB75" s="64"/>
    </row>
    <row r="81" spans="2:13" x14ac:dyDescent="0.2">
      <c r="I81" s="683"/>
    </row>
    <row r="84" spans="2:13" x14ac:dyDescent="0.2">
      <c r="B84" s="684"/>
      <c r="C84" s="684"/>
      <c r="D84" s="64"/>
      <c r="E84" s="64"/>
      <c r="F84" s="64"/>
      <c r="G84" s="64"/>
      <c r="H84" s="64"/>
      <c r="J84" s="64"/>
      <c r="K84" s="64"/>
      <c r="L84" s="64"/>
      <c r="M84" s="681"/>
    </row>
    <row r="86" spans="2:13" x14ac:dyDescent="0.2">
      <c r="I86" s="64"/>
    </row>
  </sheetData>
  <sheetProtection password="CA8C" sheet="1" objects="1" scenarios="1" formatCells="0" formatColumns="0" formatRows="0" autoFilter="0"/>
  <dataConsolidate link="1"/>
  <mergeCells count="38">
    <mergeCell ref="D63:L63"/>
    <mergeCell ref="B40:L41"/>
    <mergeCell ref="D29:H29"/>
    <mergeCell ref="B43:L44"/>
    <mergeCell ref="D62:L62"/>
    <mergeCell ref="D60:L60"/>
    <mergeCell ref="D61:L61"/>
    <mergeCell ref="B34:L35"/>
    <mergeCell ref="D30:H30"/>
    <mergeCell ref="B37:L38"/>
    <mergeCell ref="B51:L51"/>
    <mergeCell ref="B53:L53"/>
    <mergeCell ref="C6:C8"/>
    <mergeCell ref="D12:H12"/>
    <mergeCell ref="D13:H13"/>
    <mergeCell ref="D14:H14"/>
    <mergeCell ref="D15:H15"/>
    <mergeCell ref="D18:H18"/>
    <mergeCell ref="D19:H19"/>
    <mergeCell ref="D20:H20"/>
    <mergeCell ref="D16:H16"/>
    <mergeCell ref="D11:H11"/>
    <mergeCell ref="D26:H26"/>
    <mergeCell ref="D27:H27"/>
    <mergeCell ref="D28:H28"/>
    <mergeCell ref="B46:L47"/>
    <mergeCell ref="I6:L6"/>
    <mergeCell ref="I7:J7"/>
    <mergeCell ref="K7:L7"/>
    <mergeCell ref="D10:H10"/>
    <mergeCell ref="D9:H9"/>
    <mergeCell ref="D21:H21"/>
    <mergeCell ref="D22:H22"/>
    <mergeCell ref="D23:H23"/>
    <mergeCell ref="D24:H24"/>
    <mergeCell ref="D25:H25"/>
    <mergeCell ref="B6:B8"/>
    <mergeCell ref="D17:H17"/>
  </mergeCells>
  <conditionalFormatting sqref="L84:M84 M44:M45 AB75 L58:L59 M75">
    <cfRule type="cellIs" dxfId="58" priority="8" stopIfTrue="1" operator="equal">
      <formula>0</formula>
    </cfRule>
  </conditionalFormatting>
  <conditionalFormatting sqref="L9:L12 L14:L28">
    <cfRule type="cellIs" dxfId="57" priority="1" stopIfTrue="1" operator="equal">
      <formula>0</formula>
    </cfRule>
  </conditionalFormatting>
  <pageMargins left="0.47244094488188981" right="0.15748031496062992" top="0.51181102362204722" bottom="0.19685039370078741" header="0.27559055118110237" footer="0.19685039370078741"/>
  <pageSetup paperSize="9" scale="5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2:N21"/>
  <sheetViews>
    <sheetView zoomScale="70" zoomScaleNormal="70" workbookViewId="0">
      <selection activeCell="C10" sqref="C10:G10"/>
    </sheetView>
  </sheetViews>
  <sheetFormatPr defaultRowHeight="12.75" x14ac:dyDescent="0.2"/>
  <cols>
    <col min="1" max="1" width="2" style="647" customWidth="1"/>
    <col min="2" max="2" width="7.140625" style="647" customWidth="1"/>
    <col min="3" max="3" width="25.7109375" style="8" customWidth="1"/>
    <col min="4" max="4" width="17.42578125" style="8" customWidth="1"/>
    <col min="5" max="5" width="8" style="9" customWidth="1"/>
    <col min="6" max="6" width="13.7109375" style="10" customWidth="1"/>
    <col min="7" max="12" width="17.5703125" style="11" customWidth="1"/>
    <col min="13" max="13" width="18.140625" style="8" customWidth="1"/>
    <col min="14" max="14" width="17" style="8" customWidth="1"/>
    <col min="15" max="262" width="9.140625" style="8"/>
    <col min="263" max="263" width="7.140625" style="8" customWidth="1"/>
    <col min="264" max="264" width="25.7109375" style="8" customWidth="1"/>
    <col min="265" max="265" width="17.42578125" style="8" customWidth="1"/>
    <col min="266" max="266" width="8" style="8" customWidth="1"/>
    <col min="267" max="267" width="13.7109375" style="8" customWidth="1"/>
    <col min="268" max="268" width="17.5703125" style="8" customWidth="1"/>
    <col min="269" max="269" width="19.42578125" style="8" customWidth="1"/>
    <col min="270" max="270" width="17" style="8" customWidth="1"/>
    <col min="271" max="518" width="9.140625" style="8"/>
    <col min="519" max="519" width="7.140625" style="8" customWidth="1"/>
    <col min="520" max="520" width="25.7109375" style="8" customWidth="1"/>
    <col min="521" max="521" width="17.42578125" style="8" customWidth="1"/>
    <col min="522" max="522" width="8" style="8" customWidth="1"/>
    <col min="523" max="523" width="13.7109375" style="8" customWidth="1"/>
    <col min="524" max="524" width="17.5703125" style="8" customWidth="1"/>
    <col min="525" max="525" width="19.42578125" style="8" customWidth="1"/>
    <col min="526" max="526" width="17" style="8" customWidth="1"/>
    <col min="527" max="774" width="9.140625" style="8"/>
    <col min="775" max="775" width="7.140625" style="8" customWidth="1"/>
    <col min="776" max="776" width="25.7109375" style="8" customWidth="1"/>
    <col min="777" max="777" width="17.42578125" style="8" customWidth="1"/>
    <col min="778" max="778" width="8" style="8" customWidth="1"/>
    <col min="779" max="779" width="13.7109375" style="8" customWidth="1"/>
    <col min="780" max="780" width="17.5703125" style="8" customWidth="1"/>
    <col min="781" max="781" width="19.42578125" style="8" customWidth="1"/>
    <col min="782" max="782" width="17" style="8" customWidth="1"/>
    <col min="783" max="1030" width="9.140625" style="8"/>
    <col min="1031" max="1031" width="7.140625" style="8" customWidth="1"/>
    <col min="1032" max="1032" width="25.7109375" style="8" customWidth="1"/>
    <col min="1033" max="1033" width="17.42578125" style="8" customWidth="1"/>
    <col min="1034" max="1034" width="8" style="8" customWidth="1"/>
    <col min="1035" max="1035" width="13.7109375" style="8" customWidth="1"/>
    <col min="1036" max="1036" width="17.5703125" style="8" customWidth="1"/>
    <col min="1037" max="1037" width="19.42578125" style="8" customWidth="1"/>
    <col min="1038" max="1038" width="17" style="8" customWidth="1"/>
    <col min="1039" max="1286" width="9.140625" style="8"/>
    <col min="1287" max="1287" width="7.140625" style="8" customWidth="1"/>
    <col min="1288" max="1288" width="25.7109375" style="8" customWidth="1"/>
    <col min="1289" max="1289" width="17.42578125" style="8" customWidth="1"/>
    <col min="1290" max="1290" width="8" style="8" customWidth="1"/>
    <col min="1291" max="1291" width="13.7109375" style="8" customWidth="1"/>
    <col min="1292" max="1292" width="17.5703125" style="8" customWidth="1"/>
    <col min="1293" max="1293" width="19.42578125" style="8" customWidth="1"/>
    <col min="1294" max="1294" width="17" style="8" customWidth="1"/>
    <col min="1295" max="1542" width="9.140625" style="8"/>
    <col min="1543" max="1543" width="7.140625" style="8" customWidth="1"/>
    <col min="1544" max="1544" width="25.7109375" style="8" customWidth="1"/>
    <col min="1545" max="1545" width="17.42578125" style="8" customWidth="1"/>
    <col min="1546" max="1546" width="8" style="8" customWidth="1"/>
    <col min="1547" max="1547" width="13.7109375" style="8" customWidth="1"/>
    <col min="1548" max="1548" width="17.5703125" style="8" customWidth="1"/>
    <col min="1549" max="1549" width="19.42578125" style="8" customWidth="1"/>
    <col min="1550" max="1550" width="17" style="8" customWidth="1"/>
    <col min="1551" max="1798" width="9.140625" style="8"/>
    <col min="1799" max="1799" width="7.140625" style="8" customWidth="1"/>
    <col min="1800" max="1800" width="25.7109375" style="8" customWidth="1"/>
    <col min="1801" max="1801" width="17.42578125" style="8" customWidth="1"/>
    <col min="1802" max="1802" width="8" style="8" customWidth="1"/>
    <col min="1803" max="1803" width="13.7109375" style="8" customWidth="1"/>
    <col min="1804" max="1804" width="17.5703125" style="8" customWidth="1"/>
    <col min="1805" max="1805" width="19.42578125" style="8" customWidth="1"/>
    <col min="1806" max="1806" width="17" style="8" customWidth="1"/>
    <col min="1807" max="2054" width="9.140625" style="8"/>
    <col min="2055" max="2055" width="7.140625" style="8" customWidth="1"/>
    <col min="2056" max="2056" width="25.7109375" style="8" customWidth="1"/>
    <col min="2057" max="2057" width="17.42578125" style="8" customWidth="1"/>
    <col min="2058" max="2058" width="8" style="8" customWidth="1"/>
    <col min="2059" max="2059" width="13.7109375" style="8" customWidth="1"/>
    <col min="2060" max="2060" width="17.5703125" style="8" customWidth="1"/>
    <col min="2061" max="2061" width="19.42578125" style="8" customWidth="1"/>
    <col min="2062" max="2062" width="17" style="8" customWidth="1"/>
    <col min="2063" max="2310" width="9.140625" style="8"/>
    <col min="2311" max="2311" width="7.140625" style="8" customWidth="1"/>
    <col min="2312" max="2312" width="25.7109375" style="8" customWidth="1"/>
    <col min="2313" max="2313" width="17.42578125" style="8" customWidth="1"/>
    <col min="2314" max="2314" width="8" style="8" customWidth="1"/>
    <col min="2315" max="2315" width="13.7109375" style="8" customWidth="1"/>
    <col min="2316" max="2316" width="17.5703125" style="8" customWidth="1"/>
    <col min="2317" max="2317" width="19.42578125" style="8" customWidth="1"/>
    <col min="2318" max="2318" width="17" style="8" customWidth="1"/>
    <col min="2319" max="2566" width="9.140625" style="8"/>
    <col min="2567" max="2567" width="7.140625" style="8" customWidth="1"/>
    <col min="2568" max="2568" width="25.7109375" style="8" customWidth="1"/>
    <col min="2569" max="2569" width="17.42578125" style="8" customWidth="1"/>
    <col min="2570" max="2570" width="8" style="8" customWidth="1"/>
    <col min="2571" max="2571" width="13.7109375" style="8" customWidth="1"/>
    <col min="2572" max="2572" width="17.5703125" style="8" customWidth="1"/>
    <col min="2573" max="2573" width="19.42578125" style="8" customWidth="1"/>
    <col min="2574" max="2574" width="17" style="8" customWidth="1"/>
    <col min="2575" max="2822" width="9.140625" style="8"/>
    <col min="2823" max="2823" width="7.140625" style="8" customWidth="1"/>
    <col min="2824" max="2824" width="25.7109375" style="8" customWidth="1"/>
    <col min="2825" max="2825" width="17.42578125" style="8" customWidth="1"/>
    <col min="2826" max="2826" width="8" style="8" customWidth="1"/>
    <col min="2827" max="2827" width="13.7109375" style="8" customWidth="1"/>
    <col min="2828" max="2828" width="17.5703125" style="8" customWidth="1"/>
    <col min="2829" max="2829" width="19.42578125" style="8" customWidth="1"/>
    <col min="2830" max="2830" width="17" style="8" customWidth="1"/>
    <col min="2831" max="3078" width="9.140625" style="8"/>
    <col min="3079" max="3079" width="7.140625" style="8" customWidth="1"/>
    <col min="3080" max="3080" width="25.7109375" style="8" customWidth="1"/>
    <col min="3081" max="3081" width="17.42578125" style="8" customWidth="1"/>
    <col min="3082" max="3082" width="8" style="8" customWidth="1"/>
    <col min="3083" max="3083" width="13.7109375" style="8" customWidth="1"/>
    <col min="3084" max="3084" width="17.5703125" style="8" customWidth="1"/>
    <col min="3085" max="3085" width="19.42578125" style="8" customWidth="1"/>
    <col min="3086" max="3086" width="17" style="8" customWidth="1"/>
    <col min="3087" max="3334" width="9.140625" style="8"/>
    <col min="3335" max="3335" width="7.140625" style="8" customWidth="1"/>
    <col min="3336" max="3336" width="25.7109375" style="8" customWidth="1"/>
    <col min="3337" max="3337" width="17.42578125" style="8" customWidth="1"/>
    <col min="3338" max="3338" width="8" style="8" customWidth="1"/>
    <col min="3339" max="3339" width="13.7109375" style="8" customWidth="1"/>
    <col min="3340" max="3340" width="17.5703125" style="8" customWidth="1"/>
    <col min="3341" max="3341" width="19.42578125" style="8" customWidth="1"/>
    <col min="3342" max="3342" width="17" style="8" customWidth="1"/>
    <col min="3343" max="3590" width="9.140625" style="8"/>
    <col min="3591" max="3591" width="7.140625" style="8" customWidth="1"/>
    <col min="3592" max="3592" width="25.7109375" style="8" customWidth="1"/>
    <col min="3593" max="3593" width="17.42578125" style="8" customWidth="1"/>
    <col min="3594" max="3594" width="8" style="8" customWidth="1"/>
    <col min="3595" max="3595" width="13.7109375" style="8" customWidth="1"/>
    <col min="3596" max="3596" width="17.5703125" style="8" customWidth="1"/>
    <col min="3597" max="3597" width="19.42578125" style="8" customWidth="1"/>
    <col min="3598" max="3598" width="17" style="8" customWidth="1"/>
    <col min="3599" max="3846" width="9.140625" style="8"/>
    <col min="3847" max="3847" width="7.140625" style="8" customWidth="1"/>
    <col min="3848" max="3848" width="25.7109375" style="8" customWidth="1"/>
    <col min="3849" max="3849" width="17.42578125" style="8" customWidth="1"/>
    <col min="3850" max="3850" width="8" style="8" customWidth="1"/>
    <col min="3851" max="3851" width="13.7109375" style="8" customWidth="1"/>
    <col min="3852" max="3852" width="17.5703125" style="8" customWidth="1"/>
    <col min="3853" max="3853" width="19.42578125" style="8" customWidth="1"/>
    <col min="3854" max="3854" width="17" style="8" customWidth="1"/>
    <col min="3855" max="4102" width="9.140625" style="8"/>
    <col min="4103" max="4103" width="7.140625" style="8" customWidth="1"/>
    <col min="4104" max="4104" width="25.7109375" style="8" customWidth="1"/>
    <col min="4105" max="4105" width="17.42578125" style="8" customWidth="1"/>
    <col min="4106" max="4106" width="8" style="8" customWidth="1"/>
    <col min="4107" max="4107" width="13.7109375" style="8" customWidth="1"/>
    <col min="4108" max="4108" width="17.5703125" style="8" customWidth="1"/>
    <col min="4109" max="4109" width="19.42578125" style="8" customWidth="1"/>
    <col min="4110" max="4110" width="17" style="8" customWidth="1"/>
    <col min="4111" max="4358" width="9.140625" style="8"/>
    <col min="4359" max="4359" width="7.140625" style="8" customWidth="1"/>
    <col min="4360" max="4360" width="25.7109375" style="8" customWidth="1"/>
    <col min="4361" max="4361" width="17.42578125" style="8" customWidth="1"/>
    <col min="4362" max="4362" width="8" style="8" customWidth="1"/>
    <col min="4363" max="4363" width="13.7109375" style="8" customWidth="1"/>
    <col min="4364" max="4364" width="17.5703125" style="8" customWidth="1"/>
    <col min="4365" max="4365" width="19.42578125" style="8" customWidth="1"/>
    <col min="4366" max="4366" width="17" style="8" customWidth="1"/>
    <col min="4367" max="4614" width="9.140625" style="8"/>
    <col min="4615" max="4615" width="7.140625" style="8" customWidth="1"/>
    <col min="4616" max="4616" width="25.7109375" style="8" customWidth="1"/>
    <col min="4617" max="4617" width="17.42578125" style="8" customWidth="1"/>
    <col min="4618" max="4618" width="8" style="8" customWidth="1"/>
    <col min="4619" max="4619" width="13.7109375" style="8" customWidth="1"/>
    <col min="4620" max="4620" width="17.5703125" style="8" customWidth="1"/>
    <col min="4621" max="4621" width="19.42578125" style="8" customWidth="1"/>
    <col min="4622" max="4622" width="17" style="8" customWidth="1"/>
    <col min="4623" max="4870" width="9.140625" style="8"/>
    <col min="4871" max="4871" width="7.140625" style="8" customWidth="1"/>
    <col min="4872" max="4872" width="25.7109375" style="8" customWidth="1"/>
    <col min="4873" max="4873" width="17.42578125" style="8" customWidth="1"/>
    <col min="4874" max="4874" width="8" style="8" customWidth="1"/>
    <col min="4875" max="4875" width="13.7109375" style="8" customWidth="1"/>
    <col min="4876" max="4876" width="17.5703125" style="8" customWidth="1"/>
    <col min="4877" max="4877" width="19.42578125" style="8" customWidth="1"/>
    <col min="4878" max="4878" width="17" style="8" customWidth="1"/>
    <col min="4879" max="5126" width="9.140625" style="8"/>
    <col min="5127" max="5127" width="7.140625" style="8" customWidth="1"/>
    <col min="5128" max="5128" width="25.7109375" style="8" customWidth="1"/>
    <col min="5129" max="5129" width="17.42578125" style="8" customWidth="1"/>
    <col min="5130" max="5130" width="8" style="8" customWidth="1"/>
    <col min="5131" max="5131" width="13.7109375" style="8" customWidth="1"/>
    <col min="5132" max="5132" width="17.5703125" style="8" customWidth="1"/>
    <col min="5133" max="5133" width="19.42578125" style="8" customWidth="1"/>
    <col min="5134" max="5134" width="17" style="8" customWidth="1"/>
    <col min="5135" max="5382" width="9.140625" style="8"/>
    <col min="5383" max="5383" width="7.140625" style="8" customWidth="1"/>
    <col min="5384" max="5384" width="25.7109375" style="8" customWidth="1"/>
    <col min="5385" max="5385" width="17.42578125" style="8" customWidth="1"/>
    <col min="5386" max="5386" width="8" style="8" customWidth="1"/>
    <col min="5387" max="5387" width="13.7109375" style="8" customWidth="1"/>
    <col min="5388" max="5388" width="17.5703125" style="8" customWidth="1"/>
    <col min="5389" max="5389" width="19.42578125" style="8" customWidth="1"/>
    <col min="5390" max="5390" width="17" style="8" customWidth="1"/>
    <col min="5391" max="5638" width="9.140625" style="8"/>
    <col min="5639" max="5639" width="7.140625" style="8" customWidth="1"/>
    <col min="5640" max="5640" width="25.7109375" style="8" customWidth="1"/>
    <col min="5641" max="5641" width="17.42578125" style="8" customWidth="1"/>
    <col min="5642" max="5642" width="8" style="8" customWidth="1"/>
    <col min="5643" max="5643" width="13.7109375" style="8" customWidth="1"/>
    <col min="5644" max="5644" width="17.5703125" style="8" customWidth="1"/>
    <col min="5645" max="5645" width="19.42578125" style="8" customWidth="1"/>
    <col min="5646" max="5646" width="17" style="8" customWidth="1"/>
    <col min="5647" max="5894" width="9.140625" style="8"/>
    <col min="5895" max="5895" width="7.140625" style="8" customWidth="1"/>
    <col min="5896" max="5896" width="25.7109375" style="8" customWidth="1"/>
    <col min="5897" max="5897" width="17.42578125" style="8" customWidth="1"/>
    <col min="5898" max="5898" width="8" style="8" customWidth="1"/>
    <col min="5899" max="5899" width="13.7109375" style="8" customWidth="1"/>
    <col min="5900" max="5900" width="17.5703125" style="8" customWidth="1"/>
    <col min="5901" max="5901" width="19.42578125" style="8" customWidth="1"/>
    <col min="5902" max="5902" width="17" style="8" customWidth="1"/>
    <col min="5903" max="6150" width="9.140625" style="8"/>
    <col min="6151" max="6151" width="7.140625" style="8" customWidth="1"/>
    <col min="6152" max="6152" width="25.7109375" style="8" customWidth="1"/>
    <col min="6153" max="6153" width="17.42578125" style="8" customWidth="1"/>
    <col min="6154" max="6154" width="8" style="8" customWidth="1"/>
    <col min="6155" max="6155" width="13.7109375" style="8" customWidth="1"/>
    <col min="6156" max="6156" width="17.5703125" style="8" customWidth="1"/>
    <col min="6157" max="6157" width="19.42578125" style="8" customWidth="1"/>
    <col min="6158" max="6158" width="17" style="8" customWidth="1"/>
    <col min="6159" max="6406" width="9.140625" style="8"/>
    <col min="6407" max="6407" width="7.140625" style="8" customWidth="1"/>
    <col min="6408" max="6408" width="25.7109375" style="8" customWidth="1"/>
    <col min="6409" max="6409" width="17.42578125" style="8" customWidth="1"/>
    <col min="6410" max="6410" width="8" style="8" customWidth="1"/>
    <col min="6411" max="6411" width="13.7109375" style="8" customWidth="1"/>
    <col min="6412" max="6412" width="17.5703125" style="8" customWidth="1"/>
    <col min="6413" max="6413" width="19.42578125" style="8" customWidth="1"/>
    <col min="6414" max="6414" width="17" style="8" customWidth="1"/>
    <col min="6415" max="6662" width="9.140625" style="8"/>
    <col min="6663" max="6663" width="7.140625" style="8" customWidth="1"/>
    <col min="6664" max="6664" width="25.7109375" style="8" customWidth="1"/>
    <col min="6665" max="6665" width="17.42578125" style="8" customWidth="1"/>
    <col min="6666" max="6666" width="8" style="8" customWidth="1"/>
    <col min="6667" max="6667" width="13.7109375" style="8" customWidth="1"/>
    <col min="6668" max="6668" width="17.5703125" style="8" customWidth="1"/>
    <col min="6669" max="6669" width="19.42578125" style="8" customWidth="1"/>
    <col min="6670" max="6670" width="17" style="8" customWidth="1"/>
    <col min="6671" max="6918" width="9.140625" style="8"/>
    <col min="6919" max="6919" width="7.140625" style="8" customWidth="1"/>
    <col min="6920" max="6920" width="25.7109375" style="8" customWidth="1"/>
    <col min="6921" max="6921" width="17.42578125" style="8" customWidth="1"/>
    <col min="6922" max="6922" width="8" style="8" customWidth="1"/>
    <col min="6923" max="6923" width="13.7109375" style="8" customWidth="1"/>
    <col min="6924" max="6924" width="17.5703125" style="8" customWidth="1"/>
    <col min="6925" max="6925" width="19.42578125" style="8" customWidth="1"/>
    <col min="6926" max="6926" width="17" style="8" customWidth="1"/>
    <col min="6927" max="7174" width="9.140625" style="8"/>
    <col min="7175" max="7175" width="7.140625" style="8" customWidth="1"/>
    <col min="7176" max="7176" width="25.7109375" style="8" customWidth="1"/>
    <col min="7177" max="7177" width="17.42578125" style="8" customWidth="1"/>
    <col min="7178" max="7178" width="8" style="8" customWidth="1"/>
    <col min="7179" max="7179" width="13.7109375" style="8" customWidth="1"/>
    <col min="7180" max="7180" width="17.5703125" style="8" customWidth="1"/>
    <col min="7181" max="7181" width="19.42578125" style="8" customWidth="1"/>
    <col min="7182" max="7182" width="17" style="8" customWidth="1"/>
    <col min="7183" max="7430" width="9.140625" style="8"/>
    <col min="7431" max="7431" width="7.140625" style="8" customWidth="1"/>
    <col min="7432" max="7432" width="25.7109375" style="8" customWidth="1"/>
    <col min="7433" max="7433" width="17.42578125" style="8" customWidth="1"/>
    <col min="7434" max="7434" width="8" style="8" customWidth="1"/>
    <col min="7435" max="7435" width="13.7109375" style="8" customWidth="1"/>
    <col min="7436" max="7436" width="17.5703125" style="8" customWidth="1"/>
    <col min="7437" max="7437" width="19.42578125" style="8" customWidth="1"/>
    <col min="7438" max="7438" width="17" style="8" customWidth="1"/>
    <col min="7439" max="7686" width="9.140625" style="8"/>
    <col min="7687" max="7687" width="7.140625" style="8" customWidth="1"/>
    <col min="7688" max="7688" width="25.7109375" style="8" customWidth="1"/>
    <col min="7689" max="7689" width="17.42578125" style="8" customWidth="1"/>
    <col min="7690" max="7690" width="8" style="8" customWidth="1"/>
    <col min="7691" max="7691" width="13.7109375" style="8" customWidth="1"/>
    <col min="7692" max="7692" width="17.5703125" style="8" customWidth="1"/>
    <col min="7693" max="7693" width="19.42578125" style="8" customWidth="1"/>
    <col min="7694" max="7694" width="17" style="8" customWidth="1"/>
    <col min="7695" max="7942" width="9.140625" style="8"/>
    <col min="7943" max="7943" width="7.140625" style="8" customWidth="1"/>
    <col min="7944" max="7944" width="25.7109375" style="8" customWidth="1"/>
    <col min="7945" max="7945" width="17.42578125" style="8" customWidth="1"/>
    <col min="7946" max="7946" width="8" style="8" customWidth="1"/>
    <col min="7947" max="7947" width="13.7109375" style="8" customWidth="1"/>
    <col min="7948" max="7948" width="17.5703125" style="8" customWidth="1"/>
    <col min="7949" max="7949" width="19.42578125" style="8" customWidth="1"/>
    <col min="7950" max="7950" width="17" style="8" customWidth="1"/>
    <col min="7951" max="8198" width="9.140625" style="8"/>
    <col min="8199" max="8199" width="7.140625" style="8" customWidth="1"/>
    <col min="8200" max="8200" width="25.7109375" style="8" customWidth="1"/>
    <col min="8201" max="8201" width="17.42578125" style="8" customWidth="1"/>
    <col min="8202" max="8202" width="8" style="8" customWidth="1"/>
    <col min="8203" max="8203" width="13.7109375" style="8" customWidth="1"/>
    <col min="8204" max="8204" width="17.5703125" style="8" customWidth="1"/>
    <col min="8205" max="8205" width="19.42578125" style="8" customWidth="1"/>
    <col min="8206" max="8206" width="17" style="8" customWidth="1"/>
    <col min="8207" max="8454" width="9.140625" style="8"/>
    <col min="8455" max="8455" width="7.140625" style="8" customWidth="1"/>
    <col min="8456" max="8456" width="25.7109375" style="8" customWidth="1"/>
    <col min="8457" max="8457" width="17.42578125" style="8" customWidth="1"/>
    <col min="8458" max="8458" width="8" style="8" customWidth="1"/>
    <col min="8459" max="8459" width="13.7109375" style="8" customWidth="1"/>
    <col min="8460" max="8460" width="17.5703125" style="8" customWidth="1"/>
    <col min="8461" max="8461" width="19.42578125" style="8" customWidth="1"/>
    <col min="8462" max="8462" width="17" style="8" customWidth="1"/>
    <col min="8463" max="8710" width="9.140625" style="8"/>
    <col min="8711" max="8711" width="7.140625" style="8" customWidth="1"/>
    <col min="8712" max="8712" width="25.7109375" style="8" customWidth="1"/>
    <col min="8713" max="8713" width="17.42578125" style="8" customWidth="1"/>
    <col min="8714" max="8714" width="8" style="8" customWidth="1"/>
    <col min="8715" max="8715" width="13.7109375" style="8" customWidth="1"/>
    <col min="8716" max="8716" width="17.5703125" style="8" customWidth="1"/>
    <col min="8717" max="8717" width="19.42578125" style="8" customWidth="1"/>
    <col min="8718" max="8718" width="17" style="8" customWidth="1"/>
    <col min="8719" max="8966" width="9.140625" style="8"/>
    <col min="8967" max="8967" width="7.140625" style="8" customWidth="1"/>
    <col min="8968" max="8968" width="25.7109375" style="8" customWidth="1"/>
    <col min="8969" max="8969" width="17.42578125" style="8" customWidth="1"/>
    <col min="8970" max="8970" width="8" style="8" customWidth="1"/>
    <col min="8971" max="8971" width="13.7109375" style="8" customWidth="1"/>
    <col min="8972" max="8972" width="17.5703125" style="8" customWidth="1"/>
    <col min="8973" max="8973" width="19.42578125" style="8" customWidth="1"/>
    <col min="8974" max="8974" width="17" style="8" customWidth="1"/>
    <col min="8975" max="9222" width="9.140625" style="8"/>
    <col min="9223" max="9223" width="7.140625" style="8" customWidth="1"/>
    <col min="9224" max="9224" width="25.7109375" style="8" customWidth="1"/>
    <col min="9225" max="9225" width="17.42578125" style="8" customWidth="1"/>
    <col min="9226" max="9226" width="8" style="8" customWidth="1"/>
    <col min="9227" max="9227" width="13.7109375" style="8" customWidth="1"/>
    <col min="9228" max="9228" width="17.5703125" style="8" customWidth="1"/>
    <col min="9229" max="9229" width="19.42578125" style="8" customWidth="1"/>
    <col min="9230" max="9230" width="17" style="8" customWidth="1"/>
    <col min="9231" max="9478" width="9.140625" style="8"/>
    <col min="9479" max="9479" width="7.140625" style="8" customWidth="1"/>
    <col min="9480" max="9480" width="25.7109375" style="8" customWidth="1"/>
    <col min="9481" max="9481" width="17.42578125" style="8" customWidth="1"/>
    <col min="9482" max="9482" width="8" style="8" customWidth="1"/>
    <col min="9483" max="9483" width="13.7109375" style="8" customWidth="1"/>
    <col min="9484" max="9484" width="17.5703125" style="8" customWidth="1"/>
    <col min="9485" max="9485" width="19.42578125" style="8" customWidth="1"/>
    <col min="9486" max="9486" width="17" style="8" customWidth="1"/>
    <col min="9487" max="9734" width="9.140625" style="8"/>
    <col min="9735" max="9735" width="7.140625" style="8" customWidth="1"/>
    <col min="9736" max="9736" width="25.7109375" style="8" customWidth="1"/>
    <col min="9737" max="9737" width="17.42578125" style="8" customWidth="1"/>
    <col min="9738" max="9738" width="8" style="8" customWidth="1"/>
    <col min="9739" max="9739" width="13.7109375" style="8" customWidth="1"/>
    <col min="9740" max="9740" width="17.5703125" style="8" customWidth="1"/>
    <col min="9741" max="9741" width="19.42578125" style="8" customWidth="1"/>
    <col min="9742" max="9742" width="17" style="8" customWidth="1"/>
    <col min="9743" max="9990" width="9.140625" style="8"/>
    <col min="9991" max="9991" width="7.140625" style="8" customWidth="1"/>
    <col min="9992" max="9992" width="25.7109375" style="8" customWidth="1"/>
    <col min="9993" max="9993" width="17.42578125" style="8" customWidth="1"/>
    <col min="9994" max="9994" width="8" style="8" customWidth="1"/>
    <col min="9995" max="9995" width="13.7109375" style="8" customWidth="1"/>
    <col min="9996" max="9996" width="17.5703125" style="8" customWidth="1"/>
    <col min="9997" max="9997" width="19.42578125" style="8" customWidth="1"/>
    <col min="9998" max="9998" width="17" style="8" customWidth="1"/>
    <col min="9999" max="10246" width="9.140625" style="8"/>
    <col min="10247" max="10247" width="7.140625" style="8" customWidth="1"/>
    <col min="10248" max="10248" width="25.7109375" style="8" customWidth="1"/>
    <col min="10249" max="10249" width="17.42578125" style="8" customWidth="1"/>
    <col min="10250" max="10250" width="8" style="8" customWidth="1"/>
    <col min="10251" max="10251" width="13.7109375" style="8" customWidth="1"/>
    <col min="10252" max="10252" width="17.5703125" style="8" customWidth="1"/>
    <col min="10253" max="10253" width="19.42578125" style="8" customWidth="1"/>
    <col min="10254" max="10254" width="17" style="8" customWidth="1"/>
    <col min="10255" max="10502" width="9.140625" style="8"/>
    <col min="10503" max="10503" width="7.140625" style="8" customWidth="1"/>
    <col min="10504" max="10504" width="25.7109375" style="8" customWidth="1"/>
    <col min="10505" max="10505" width="17.42578125" style="8" customWidth="1"/>
    <col min="10506" max="10506" width="8" style="8" customWidth="1"/>
    <col min="10507" max="10507" width="13.7109375" style="8" customWidth="1"/>
    <col min="10508" max="10508" width="17.5703125" style="8" customWidth="1"/>
    <col min="10509" max="10509" width="19.42578125" style="8" customWidth="1"/>
    <col min="10510" max="10510" width="17" style="8" customWidth="1"/>
    <col min="10511" max="10758" width="9.140625" style="8"/>
    <col min="10759" max="10759" width="7.140625" style="8" customWidth="1"/>
    <col min="10760" max="10760" width="25.7109375" style="8" customWidth="1"/>
    <col min="10761" max="10761" width="17.42578125" style="8" customWidth="1"/>
    <col min="10762" max="10762" width="8" style="8" customWidth="1"/>
    <col min="10763" max="10763" width="13.7109375" style="8" customWidth="1"/>
    <col min="10764" max="10764" width="17.5703125" style="8" customWidth="1"/>
    <col min="10765" max="10765" width="19.42578125" style="8" customWidth="1"/>
    <col min="10766" max="10766" width="17" style="8" customWidth="1"/>
    <col min="10767" max="11014" width="9.140625" style="8"/>
    <col min="11015" max="11015" width="7.140625" style="8" customWidth="1"/>
    <col min="11016" max="11016" width="25.7109375" style="8" customWidth="1"/>
    <col min="11017" max="11017" width="17.42578125" style="8" customWidth="1"/>
    <col min="11018" max="11018" width="8" style="8" customWidth="1"/>
    <col min="11019" max="11019" width="13.7109375" style="8" customWidth="1"/>
    <col min="11020" max="11020" width="17.5703125" style="8" customWidth="1"/>
    <col min="11021" max="11021" width="19.42578125" style="8" customWidth="1"/>
    <col min="11022" max="11022" width="17" style="8" customWidth="1"/>
    <col min="11023" max="11270" width="9.140625" style="8"/>
    <col min="11271" max="11271" width="7.140625" style="8" customWidth="1"/>
    <col min="11272" max="11272" width="25.7109375" style="8" customWidth="1"/>
    <col min="11273" max="11273" width="17.42578125" style="8" customWidth="1"/>
    <col min="11274" max="11274" width="8" style="8" customWidth="1"/>
    <col min="11275" max="11275" width="13.7109375" style="8" customWidth="1"/>
    <col min="11276" max="11276" width="17.5703125" style="8" customWidth="1"/>
    <col min="11277" max="11277" width="19.42578125" style="8" customWidth="1"/>
    <col min="11278" max="11278" width="17" style="8" customWidth="1"/>
    <col min="11279" max="11526" width="9.140625" style="8"/>
    <col min="11527" max="11527" width="7.140625" style="8" customWidth="1"/>
    <col min="11528" max="11528" width="25.7109375" style="8" customWidth="1"/>
    <col min="11529" max="11529" width="17.42578125" style="8" customWidth="1"/>
    <col min="11530" max="11530" width="8" style="8" customWidth="1"/>
    <col min="11531" max="11531" width="13.7109375" style="8" customWidth="1"/>
    <col min="11532" max="11532" width="17.5703125" style="8" customWidth="1"/>
    <col min="11533" max="11533" width="19.42578125" style="8" customWidth="1"/>
    <col min="11534" max="11534" width="17" style="8" customWidth="1"/>
    <col min="11535" max="11782" width="9.140625" style="8"/>
    <col min="11783" max="11783" width="7.140625" style="8" customWidth="1"/>
    <col min="11784" max="11784" width="25.7109375" style="8" customWidth="1"/>
    <col min="11785" max="11785" width="17.42578125" style="8" customWidth="1"/>
    <col min="11786" max="11786" width="8" style="8" customWidth="1"/>
    <col min="11787" max="11787" width="13.7109375" style="8" customWidth="1"/>
    <col min="11788" max="11788" width="17.5703125" style="8" customWidth="1"/>
    <col min="11789" max="11789" width="19.42578125" style="8" customWidth="1"/>
    <col min="11790" max="11790" width="17" style="8" customWidth="1"/>
    <col min="11791" max="12038" width="9.140625" style="8"/>
    <col min="12039" max="12039" width="7.140625" style="8" customWidth="1"/>
    <col min="12040" max="12040" width="25.7109375" style="8" customWidth="1"/>
    <col min="12041" max="12041" width="17.42578125" style="8" customWidth="1"/>
    <col min="12042" max="12042" width="8" style="8" customWidth="1"/>
    <col min="12043" max="12043" width="13.7109375" style="8" customWidth="1"/>
    <col min="12044" max="12044" width="17.5703125" style="8" customWidth="1"/>
    <col min="12045" max="12045" width="19.42578125" style="8" customWidth="1"/>
    <col min="12046" max="12046" width="17" style="8" customWidth="1"/>
    <col min="12047" max="12294" width="9.140625" style="8"/>
    <col min="12295" max="12295" width="7.140625" style="8" customWidth="1"/>
    <col min="12296" max="12296" width="25.7109375" style="8" customWidth="1"/>
    <col min="12297" max="12297" width="17.42578125" style="8" customWidth="1"/>
    <col min="12298" max="12298" width="8" style="8" customWidth="1"/>
    <col min="12299" max="12299" width="13.7109375" style="8" customWidth="1"/>
    <col min="12300" max="12300" width="17.5703125" style="8" customWidth="1"/>
    <col min="12301" max="12301" width="19.42578125" style="8" customWidth="1"/>
    <col min="12302" max="12302" width="17" style="8" customWidth="1"/>
    <col min="12303" max="12550" width="9.140625" style="8"/>
    <col min="12551" max="12551" width="7.140625" style="8" customWidth="1"/>
    <col min="12552" max="12552" width="25.7109375" style="8" customWidth="1"/>
    <col min="12553" max="12553" width="17.42578125" style="8" customWidth="1"/>
    <col min="12554" max="12554" width="8" style="8" customWidth="1"/>
    <col min="12555" max="12555" width="13.7109375" style="8" customWidth="1"/>
    <col min="12556" max="12556" width="17.5703125" style="8" customWidth="1"/>
    <col min="12557" max="12557" width="19.42578125" style="8" customWidth="1"/>
    <col min="12558" max="12558" width="17" style="8" customWidth="1"/>
    <col min="12559" max="12806" width="9.140625" style="8"/>
    <col min="12807" max="12807" width="7.140625" style="8" customWidth="1"/>
    <col min="12808" max="12808" width="25.7109375" style="8" customWidth="1"/>
    <col min="12809" max="12809" width="17.42578125" style="8" customWidth="1"/>
    <col min="12810" max="12810" width="8" style="8" customWidth="1"/>
    <col min="12811" max="12811" width="13.7109375" style="8" customWidth="1"/>
    <col min="12812" max="12812" width="17.5703125" style="8" customWidth="1"/>
    <col min="12813" max="12813" width="19.42578125" style="8" customWidth="1"/>
    <col min="12814" max="12814" width="17" style="8" customWidth="1"/>
    <col min="12815" max="13062" width="9.140625" style="8"/>
    <col min="13063" max="13063" width="7.140625" style="8" customWidth="1"/>
    <col min="13064" max="13064" width="25.7109375" style="8" customWidth="1"/>
    <col min="13065" max="13065" width="17.42578125" style="8" customWidth="1"/>
    <col min="13066" max="13066" width="8" style="8" customWidth="1"/>
    <col min="13067" max="13067" width="13.7109375" style="8" customWidth="1"/>
    <col min="13068" max="13068" width="17.5703125" style="8" customWidth="1"/>
    <col min="13069" max="13069" width="19.42578125" style="8" customWidth="1"/>
    <col min="13070" max="13070" width="17" style="8" customWidth="1"/>
    <col min="13071" max="13318" width="9.140625" style="8"/>
    <col min="13319" max="13319" width="7.140625" style="8" customWidth="1"/>
    <col min="13320" max="13320" width="25.7109375" style="8" customWidth="1"/>
    <col min="13321" max="13321" width="17.42578125" style="8" customWidth="1"/>
    <col min="13322" max="13322" width="8" style="8" customWidth="1"/>
    <col min="13323" max="13323" width="13.7109375" style="8" customWidth="1"/>
    <col min="13324" max="13324" width="17.5703125" style="8" customWidth="1"/>
    <col min="13325" max="13325" width="19.42578125" style="8" customWidth="1"/>
    <col min="13326" max="13326" width="17" style="8" customWidth="1"/>
    <col min="13327" max="13574" width="9.140625" style="8"/>
    <col min="13575" max="13575" width="7.140625" style="8" customWidth="1"/>
    <col min="13576" max="13576" width="25.7109375" style="8" customWidth="1"/>
    <col min="13577" max="13577" width="17.42578125" style="8" customWidth="1"/>
    <col min="13578" max="13578" width="8" style="8" customWidth="1"/>
    <col min="13579" max="13579" width="13.7109375" style="8" customWidth="1"/>
    <col min="13580" max="13580" width="17.5703125" style="8" customWidth="1"/>
    <col min="13581" max="13581" width="19.42578125" style="8" customWidth="1"/>
    <col min="13582" max="13582" width="17" style="8" customWidth="1"/>
    <col min="13583" max="13830" width="9.140625" style="8"/>
    <col min="13831" max="13831" width="7.140625" style="8" customWidth="1"/>
    <col min="13832" max="13832" width="25.7109375" style="8" customWidth="1"/>
    <col min="13833" max="13833" width="17.42578125" style="8" customWidth="1"/>
    <col min="13834" max="13834" width="8" style="8" customWidth="1"/>
    <col min="13835" max="13835" width="13.7109375" style="8" customWidth="1"/>
    <col min="13836" max="13836" width="17.5703125" style="8" customWidth="1"/>
    <col min="13837" max="13837" width="19.42578125" style="8" customWidth="1"/>
    <col min="13838" max="13838" width="17" style="8" customWidth="1"/>
    <col min="13839" max="14086" width="9.140625" style="8"/>
    <col min="14087" max="14087" width="7.140625" style="8" customWidth="1"/>
    <col min="14088" max="14088" width="25.7109375" style="8" customWidth="1"/>
    <col min="14089" max="14089" width="17.42578125" style="8" customWidth="1"/>
    <col min="14090" max="14090" width="8" style="8" customWidth="1"/>
    <col min="14091" max="14091" width="13.7109375" style="8" customWidth="1"/>
    <col min="14092" max="14092" width="17.5703125" style="8" customWidth="1"/>
    <col min="14093" max="14093" width="19.42578125" style="8" customWidth="1"/>
    <col min="14094" max="14094" width="17" style="8" customWidth="1"/>
    <col min="14095" max="14342" width="9.140625" style="8"/>
    <col min="14343" max="14343" width="7.140625" style="8" customWidth="1"/>
    <col min="14344" max="14344" width="25.7109375" style="8" customWidth="1"/>
    <col min="14345" max="14345" width="17.42578125" style="8" customWidth="1"/>
    <col min="14346" max="14346" width="8" style="8" customWidth="1"/>
    <col min="14347" max="14347" width="13.7109375" style="8" customWidth="1"/>
    <col min="14348" max="14348" width="17.5703125" style="8" customWidth="1"/>
    <col min="14349" max="14349" width="19.42578125" style="8" customWidth="1"/>
    <col min="14350" max="14350" width="17" style="8" customWidth="1"/>
    <col min="14351" max="14598" width="9.140625" style="8"/>
    <col min="14599" max="14599" width="7.140625" style="8" customWidth="1"/>
    <col min="14600" max="14600" width="25.7109375" style="8" customWidth="1"/>
    <col min="14601" max="14601" width="17.42578125" style="8" customWidth="1"/>
    <col min="14602" max="14602" width="8" style="8" customWidth="1"/>
    <col min="14603" max="14603" width="13.7109375" style="8" customWidth="1"/>
    <col min="14604" max="14604" width="17.5703125" style="8" customWidth="1"/>
    <col min="14605" max="14605" width="19.42578125" style="8" customWidth="1"/>
    <col min="14606" max="14606" width="17" style="8" customWidth="1"/>
    <col min="14607" max="14854" width="9.140625" style="8"/>
    <col min="14855" max="14855" width="7.140625" style="8" customWidth="1"/>
    <col min="14856" max="14856" width="25.7109375" style="8" customWidth="1"/>
    <col min="14857" max="14857" width="17.42578125" style="8" customWidth="1"/>
    <col min="14858" max="14858" width="8" style="8" customWidth="1"/>
    <col min="14859" max="14859" width="13.7109375" style="8" customWidth="1"/>
    <col min="14860" max="14860" width="17.5703125" style="8" customWidth="1"/>
    <col min="14861" max="14861" width="19.42578125" style="8" customWidth="1"/>
    <col min="14862" max="14862" width="17" style="8" customWidth="1"/>
    <col min="14863" max="15110" width="9.140625" style="8"/>
    <col min="15111" max="15111" width="7.140625" style="8" customWidth="1"/>
    <col min="15112" max="15112" width="25.7109375" style="8" customWidth="1"/>
    <col min="15113" max="15113" width="17.42578125" style="8" customWidth="1"/>
    <col min="15114" max="15114" width="8" style="8" customWidth="1"/>
    <col min="15115" max="15115" width="13.7109375" style="8" customWidth="1"/>
    <col min="15116" max="15116" width="17.5703125" style="8" customWidth="1"/>
    <col min="15117" max="15117" width="19.42578125" style="8" customWidth="1"/>
    <col min="15118" max="15118" width="17" style="8" customWidth="1"/>
    <col min="15119" max="15366" width="9.140625" style="8"/>
    <col min="15367" max="15367" width="7.140625" style="8" customWidth="1"/>
    <col min="15368" max="15368" width="25.7109375" style="8" customWidth="1"/>
    <col min="15369" max="15369" width="17.42578125" style="8" customWidth="1"/>
    <col min="15370" max="15370" width="8" style="8" customWidth="1"/>
    <col min="15371" max="15371" width="13.7109375" style="8" customWidth="1"/>
    <col min="15372" max="15372" width="17.5703125" style="8" customWidth="1"/>
    <col min="15373" max="15373" width="19.42578125" style="8" customWidth="1"/>
    <col min="15374" max="15374" width="17" style="8" customWidth="1"/>
    <col min="15375" max="15622" width="9.140625" style="8"/>
    <col min="15623" max="15623" width="7.140625" style="8" customWidth="1"/>
    <col min="15624" max="15624" width="25.7109375" style="8" customWidth="1"/>
    <col min="15625" max="15625" width="17.42578125" style="8" customWidth="1"/>
    <col min="15626" max="15626" width="8" style="8" customWidth="1"/>
    <col min="15627" max="15627" width="13.7109375" style="8" customWidth="1"/>
    <col min="15628" max="15628" width="17.5703125" style="8" customWidth="1"/>
    <col min="15629" max="15629" width="19.42578125" style="8" customWidth="1"/>
    <col min="15630" max="15630" width="17" style="8" customWidth="1"/>
    <col min="15631" max="15878" width="9.140625" style="8"/>
    <col min="15879" max="15879" width="7.140625" style="8" customWidth="1"/>
    <col min="15880" max="15880" width="25.7109375" style="8" customWidth="1"/>
    <col min="15881" max="15881" width="17.42578125" style="8" customWidth="1"/>
    <col min="15882" max="15882" width="8" style="8" customWidth="1"/>
    <col min="15883" max="15883" width="13.7109375" style="8" customWidth="1"/>
    <col min="15884" max="15884" width="17.5703125" style="8" customWidth="1"/>
    <col min="15885" max="15885" width="19.42578125" style="8" customWidth="1"/>
    <col min="15886" max="15886" width="17" style="8" customWidth="1"/>
    <col min="15887" max="16134" width="9.140625" style="8"/>
    <col min="16135" max="16135" width="7.140625" style="8" customWidth="1"/>
    <col min="16136" max="16136" width="25.7109375" style="8" customWidth="1"/>
    <col min="16137" max="16137" width="17.42578125" style="8" customWidth="1"/>
    <col min="16138" max="16138" width="8" style="8" customWidth="1"/>
    <col min="16139" max="16139" width="13.7109375" style="8" customWidth="1"/>
    <col min="16140" max="16140" width="17.5703125" style="8" customWidth="1"/>
    <col min="16141" max="16141" width="19.42578125" style="8" customWidth="1"/>
    <col min="16142" max="16142" width="17" style="8" customWidth="1"/>
    <col min="16143" max="16384" width="9.140625" style="8"/>
  </cols>
  <sheetData>
    <row r="2" spans="1:13" ht="34.5" customHeight="1" x14ac:dyDescent="0.2">
      <c r="B2" s="731" t="s">
        <v>1782</v>
      </c>
      <c r="C2" s="731"/>
      <c r="D2" s="731"/>
      <c r="E2" s="731"/>
      <c r="F2" s="731"/>
      <c r="G2" s="731"/>
      <c r="H2" s="731"/>
      <c r="I2" s="731"/>
      <c r="J2" s="731"/>
      <c r="K2" s="731"/>
      <c r="L2" s="731"/>
      <c r="M2" s="731"/>
    </row>
    <row r="3" spans="1:13" ht="7.5" customHeight="1" x14ac:dyDescent="0.2"/>
    <row r="4" spans="1:13" ht="20.25" customHeight="1" x14ac:dyDescent="0.25">
      <c r="A4" s="8"/>
      <c r="B4" s="2" t="s">
        <v>99</v>
      </c>
      <c r="C4" s="2"/>
      <c r="D4" s="7" t="str">
        <f>+'15Příloha_1_Rekapitulace'!C4</f>
        <v>Komplexní úklid Litomyšlské nemocnice společnosti Nemocnice Pardubického kraje, a.s.</v>
      </c>
      <c r="E4" s="648"/>
      <c r="F4" s="3"/>
      <c r="G4" s="3"/>
      <c r="H4" s="4"/>
      <c r="I4" s="4"/>
      <c r="J4" s="4"/>
      <c r="K4" s="4"/>
      <c r="L4" s="5"/>
      <c r="M4" s="5" t="s">
        <v>1771</v>
      </c>
    </row>
    <row r="5" spans="1:13" ht="11.25" customHeight="1" thickBot="1" x14ac:dyDescent="0.25">
      <c r="B5" s="649"/>
      <c r="C5" s="33"/>
      <c r="D5" s="33"/>
      <c r="E5" s="34"/>
      <c r="F5" s="35"/>
      <c r="G5" s="36"/>
      <c r="H5" s="36"/>
      <c r="I5" s="36"/>
      <c r="J5" s="36"/>
      <c r="K5" s="36"/>
      <c r="L5" s="36"/>
      <c r="M5" s="33"/>
    </row>
    <row r="6" spans="1:13" ht="35.25" customHeight="1" x14ac:dyDescent="0.2">
      <c r="B6" s="736" t="s">
        <v>40</v>
      </c>
      <c r="C6" s="738" t="s">
        <v>44</v>
      </c>
      <c r="D6" s="739"/>
      <c r="E6" s="739"/>
      <c r="F6" s="739"/>
      <c r="G6" s="740"/>
      <c r="H6" s="744" t="s">
        <v>39</v>
      </c>
      <c r="I6" s="744"/>
      <c r="J6" s="745"/>
      <c r="K6" s="744" t="s">
        <v>128</v>
      </c>
      <c r="L6" s="744"/>
      <c r="M6" s="745"/>
    </row>
    <row r="7" spans="1:13" ht="35.25" customHeight="1" thickBot="1" x14ac:dyDescent="0.25">
      <c r="B7" s="737"/>
      <c r="C7" s="741"/>
      <c r="D7" s="742"/>
      <c r="E7" s="742"/>
      <c r="F7" s="742"/>
      <c r="G7" s="743"/>
      <c r="H7" s="650" t="s">
        <v>18</v>
      </c>
      <c r="I7" s="651" t="s">
        <v>19</v>
      </c>
      <c r="J7" s="652" t="s">
        <v>1753</v>
      </c>
      <c r="K7" s="650" t="s">
        <v>18</v>
      </c>
      <c r="L7" s="653" t="s">
        <v>19</v>
      </c>
      <c r="M7" s="654" t="s">
        <v>1753</v>
      </c>
    </row>
    <row r="8" spans="1:13" s="49" customFormat="1" ht="26.25" customHeight="1" x14ac:dyDescent="0.25">
      <c r="A8" s="655"/>
      <c r="B8" s="656">
        <v>1</v>
      </c>
      <c r="C8" s="734" t="s">
        <v>41</v>
      </c>
      <c r="D8" s="734"/>
      <c r="E8" s="734"/>
      <c r="F8" s="734"/>
      <c r="G8" s="735"/>
      <c r="H8" s="657"/>
      <c r="I8" s="658"/>
      <c r="J8" s="659"/>
      <c r="K8" s="627"/>
      <c r="L8" s="660">
        <f>+ROUND(J8*1.21,2)</f>
        <v>0</v>
      </c>
      <c r="M8" s="661">
        <v>140</v>
      </c>
    </row>
    <row r="9" spans="1:13" s="49" customFormat="1" ht="26.25" customHeight="1" x14ac:dyDescent="0.25">
      <c r="A9" s="655"/>
      <c r="B9" s="662">
        <v>2</v>
      </c>
      <c r="C9" s="746" t="s">
        <v>43</v>
      </c>
      <c r="D9" s="746"/>
      <c r="E9" s="746"/>
      <c r="F9" s="746"/>
      <c r="G9" s="747"/>
      <c r="H9" s="628"/>
      <c r="I9" s="663">
        <f>+ROUND(H9*1.21,2)</f>
        <v>0</v>
      </c>
      <c r="J9" s="664">
        <v>75</v>
      </c>
      <c r="K9" s="665"/>
      <c r="L9" s="666"/>
      <c r="M9" s="667"/>
    </row>
    <row r="10" spans="1:13" s="49" customFormat="1" ht="26.25" customHeight="1" x14ac:dyDescent="0.25">
      <c r="A10" s="655"/>
      <c r="B10" s="662">
        <v>3</v>
      </c>
      <c r="C10" s="746" t="s">
        <v>87</v>
      </c>
      <c r="D10" s="746"/>
      <c r="E10" s="746"/>
      <c r="F10" s="746"/>
      <c r="G10" s="747"/>
      <c r="H10" s="628"/>
      <c r="I10" s="663">
        <f>+ROUND(H10*1.21,2)</f>
        <v>0</v>
      </c>
      <c r="J10" s="664">
        <v>20</v>
      </c>
      <c r="K10" s="665"/>
      <c r="L10" s="666"/>
      <c r="M10" s="667"/>
    </row>
    <row r="11" spans="1:13" s="49" customFormat="1" ht="26.25" customHeight="1" thickBot="1" x14ac:dyDescent="0.3">
      <c r="A11" s="655"/>
      <c r="B11" s="668">
        <v>4</v>
      </c>
      <c r="C11" s="748" t="s">
        <v>102</v>
      </c>
      <c r="D11" s="748"/>
      <c r="E11" s="748"/>
      <c r="F11" s="748"/>
      <c r="G11" s="749"/>
      <c r="H11" s="629"/>
      <c r="I11" s="669">
        <f>+ROUND(H11*1.21,2)</f>
        <v>0</v>
      </c>
      <c r="J11" s="670">
        <v>35</v>
      </c>
      <c r="K11" s="671"/>
      <c r="L11" s="672"/>
      <c r="M11" s="673"/>
    </row>
    <row r="14" spans="1:13" x14ac:dyDescent="0.2">
      <c r="C14" s="674" t="s">
        <v>42</v>
      </c>
    </row>
    <row r="15" spans="1:13" x14ac:dyDescent="0.2">
      <c r="C15" s="8" t="s">
        <v>88</v>
      </c>
    </row>
    <row r="16" spans="1:13" x14ac:dyDescent="0.2">
      <c r="C16" s="8" t="s">
        <v>127</v>
      </c>
    </row>
    <row r="17" spans="2:14" x14ac:dyDescent="0.2">
      <c r="C17" s="8" t="s">
        <v>1752</v>
      </c>
    </row>
    <row r="19" spans="2:14" ht="34.5" customHeight="1" x14ac:dyDescent="0.2">
      <c r="B19" s="733" t="s">
        <v>1754</v>
      </c>
      <c r="C19" s="733"/>
      <c r="D19" s="733"/>
      <c r="E19" s="733"/>
      <c r="F19" s="733"/>
      <c r="G19" s="733"/>
      <c r="H19" s="733"/>
      <c r="I19" s="733"/>
      <c r="J19" s="733"/>
      <c r="K19" s="733"/>
      <c r="L19" s="733"/>
      <c r="M19" s="733"/>
      <c r="N19" s="675"/>
    </row>
    <row r="20" spans="2:14" ht="21.75" customHeight="1" x14ac:dyDescent="0.2">
      <c r="B20" s="732" t="s">
        <v>1772</v>
      </c>
      <c r="C20" s="733"/>
      <c r="D20" s="733"/>
      <c r="E20" s="733"/>
      <c r="F20" s="733"/>
      <c r="G20" s="733"/>
      <c r="H20" s="733"/>
      <c r="I20" s="733"/>
      <c r="J20" s="733"/>
      <c r="K20" s="733"/>
      <c r="L20" s="733"/>
      <c r="M20" s="733"/>
      <c r="N20" s="675"/>
    </row>
    <row r="21" spans="2:14" ht="16.5" customHeight="1" x14ac:dyDescent="0.2"/>
  </sheetData>
  <sheetProtection password="CA8C" sheet="1" objects="1" scenarios="1" formatCells="0" formatColumns="0" formatRows="0" autoFilter="0"/>
  <mergeCells count="11">
    <mergeCell ref="B2:M2"/>
    <mergeCell ref="B20:M20"/>
    <mergeCell ref="C8:G8"/>
    <mergeCell ref="B6:B7"/>
    <mergeCell ref="C6:G7"/>
    <mergeCell ref="H6:J6"/>
    <mergeCell ref="K6:M6"/>
    <mergeCell ref="C9:G9"/>
    <mergeCell ref="C10:G10"/>
    <mergeCell ref="C11:G11"/>
    <mergeCell ref="B19:M19"/>
  </mergeCells>
  <conditionalFormatting sqref="M9 M11">
    <cfRule type="cellIs" dxfId="56" priority="5" stopIfTrue="1" operator="equal">
      <formula>0</formula>
    </cfRule>
  </conditionalFormatting>
  <conditionalFormatting sqref="M10">
    <cfRule type="cellIs" dxfId="55" priority="4" stopIfTrue="1" operator="equal">
      <formula>0</formula>
    </cfRule>
  </conditionalFormatting>
  <pageMargins left="0.31496062992125984" right="0.31496062992125984" top="0.78740157480314965" bottom="0.78740157480314965" header="0.31496062992125984" footer="0.31496062992125984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tabSelected="1" zoomScale="85" zoomScaleNormal="85" workbookViewId="0">
      <selection activeCell="J43" sqref="J43"/>
    </sheetView>
  </sheetViews>
  <sheetFormatPr defaultRowHeight="12.75" x14ac:dyDescent="0.2"/>
  <cols>
    <col min="1" max="1" width="9.140625" style="15"/>
    <col min="2" max="2" width="9.140625" style="15" customWidth="1"/>
    <col min="3" max="3" width="25.28515625" style="15" customWidth="1"/>
    <col min="4" max="4" width="14.5703125" style="15" customWidth="1"/>
    <col min="5" max="5" width="10.5703125" style="15" customWidth="1"/>
    <col min="6" max="6" width="17.7109375" style="15" customWidth="1"/>
    <col min="7" max="7" width="8.85546875" style="15" customWidth="1"/>
    <col min="8" max="8" width="5" style="214" bestFit="1" customWidth="1"/>
    <col min="9" max="9" width="9.140625" style="15"/>
    <col min="10" max="10" width="10.7109375" style="15" bestFit="1" customWidth="1"/>
    <col min="11" max="11" width="9.140625" style="15"/>
    <col min="12" max="12" width="16.85546875" style="15" customWidth="1"/>
    <col min="13" max="13" width="9.28515625" style="15" customWidth="1"/>
    <col min="14" max="14" width="9.140625" style="15" customWidth="1"/>
    <col min="15" max="15" width="9.140625" style="15"/>
    <col min="16" max="17" width="9.28515625" style="15" customWidth="1"/>
    <col min="18" max="18" width="9.140625" style="15" customWidth="1"/>
    <col min="19" max="19" width="9.42578125" style="15" customWidth="1"/>
    <col min="20" max="21" width="9.7109375" style="15" customWidth="1"/>
    <col min="22" max="22" width="9" style="15" customWidth="1"/>
    <col min="23" max="23" width="12.85546875" style="15" customWidth="1"/>
    <col min="24" max="24" width="13.28515625" style="15" customWidth="1"/>
    <col min="25" max="25" width="14.42578125" style="15" customWidth="1"/>
    <col min="26" max="16384" width="9.140625" style="15"/>
  </cols>
  <sheetData>
    <row r="1" spans="1:28" ht="16.5" thickBot="1" x14ac:dyDescent="0.3">
      <c r="A1" s="14" t="s">
        <v>384</v>
      </c>
      <c r="B1" s="213"/>
      <c r="C1" s="213"/>
      <c r="D1" s="213"/>
      <c r="E1" s="213"/>
      <c r="W1" s="5"/>
      <c r="X1" s="5" t="s">
        <v>100</v>
      </c>
      <c r="Y1" s="6" t="s">
        <v>1773</v>
      </c>
    </row>
    <row r="2" spans="1:28" ht="33.75" customHeight="1" x14ac:dyDescent="0.2">
      <c r="A2" s="755" t="s">
        <v>73</v>
      </c>
      <c r="B2" s="752" t="s">
        <v>72</v>
      </c>
      <c r="C2" s="757" t="s">
        <v>291</v>
      </c>
      <c r="D2" s="752" t="s">
        <v>292</v>
      </c>
      <c r="E2" s="752" t="s">
        <v>62</v>
      </c>
      <c r="F2" s="752" t="s">
        <v>61</v>
      </c>
      <c r="G2" s="752" t="s">
        <v>60</v>
      </c>
      <c r="H2" s="752" t="s">
        <v>98</v>
      </c>
      <c r="I2" s="752" t="s">
        <v>97</v>
      </c>
      <c r="J2" s="754" t="s">
        <v>71</v>
      </c>
      <c r="K2" s="754"/>
      <c r="L2" s="752" t="s">
        <v>59</v>
      </c>
      <c r="M2" s="752" t="s">
        <v>57</v>
      </c>
      <c r="N2" s="752" t="s">
        <v>56</v>
      </c>
      <c r="O2" s="752" t="s">
        <v>103</v>
      </c>
      <c r="P2" s="752" t="s">
        <v>104</v>
      </c>
      <c r="Q2" s="752" t="s">
        <v>105</v>
      </c>
      <c r="R2" s="752" t="s">
        <v>106</v>
      </c>
      <c r="S2" s="752" t="s">
        <v>107</v>
      </c>
      <c r="T2" s="752" t="s">
        <v>108</v>
      </c>
      <c r="U2" s="752" t="s">
        <v>109</v>
      </c>
      <c r="V2" s="752" t="s">
        <v>110</v>
      </c>
      <c r="W2" s="752" t="s">
        <v>1744</v>
      </c>
      <c r="X2" s="750" t="s">
        <v>1745</v>
      </c>
      <c r="Y2" s="750" t="s">
        <v>1746</v>
      </c>
    </row>
    <row r="3" spans="1:28" ht="33.75" customHeight="1" thickBot="1" x14ac:dyDescent="0.25">
      <c r="A3" s="756"/>
      <c r="B3" s="753"/>
      <c r="C3" s="758"/>
      <c r="D3" s="753"/>
      <c r="E3" s="753"/>
      <c r="F3" s="753"/>
      <c r="G3" s="753"/>
      <c r="H3" s="753"/>
      <c r="I3" s="753"/>
      <c r="J3" s="16" t="s">
        <v>124</v>
      </c>
      <c r="K3" s="645" t="s">
        <v>58</v>
      </c>
      <c r="L3" s="753"/>
      <c r="M3" s="753"/>
      <c r="N3" s="753"/>
      <c r="O3" s="753"/>
      <c r="P3" s="753"/>
      <c r="Q3" s="753"/>
      <c r="R3" s="753"/>
      <c r="S3" s="753"/>
      <c r="T3" s="753"/>
      <c r="U3" s="753"/>
      <c r="V3" s="753"/>
      <c r="W3" s="753"/>
      <c r="X3" s="751"/>
      <c r="Y3" s="751"/>
    </row>
    <row r="4" spans="1:28" x14ac:dyDescent="0.2">
      <c r="A4" s="215"/>
      <c r="B4" s="17"/>
      <c r="C4" s="17"/>
      <c r="D4" s="17"/>
      <c r="E4" s="17"/>
      <c r="F4" s="17"/>
      <c r="G4" s="17"/>
      <c r="H4" s="216"/>
      <c r="I4" s="17"/>
      <c r="J4" s="217">
        <f>SUM(J8,J11,J13:J19,J21:J22,J26,J28:J52)</f>
        <v>435.48</v>
      </c>
      <c r="K4" s="31">
        <f>SUM(J6:J52)</f>
        <v>555.17999999999995</v>
      </c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8">
        <f>SUM(W6:W52)</f>
        <v>0</v>
      </c>
      <c r="X4" s="131">
        <f>SUM(X6:X52)</f>
        <v>0</v>
      </c>
      <c r="Y4" s="131">
        <f>SUM(Y6:Y52)</f>
        <v>0</v>
      </c>
      <c r="AA4" s="67"/>
      <c r="AB4" s="68"/>
    </row>
    <row r="5" spans="1:28" x14ac:dyDescent="0.2">
      <c r="A5" s="218"/>
      <c r="B5" s="177"/>
      <c r="C5" s="177"/>
      <c r="D5" s="177"/>
      <c r="E5" s="177"/>
      <c r="F5" s="177"/>
      <c r="G5" s="177"/>
      <c r="H5" s="219"/>
      <c r="I5" s="177"/>
      <c r="J5" s="178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8"/>
      <c r="X5" s="220"/>
      <c r="Y5" s="220"/>
      <c r="AA5" s="67"/>
      <c r="AB5" s="68"/>
    </row>
    <row r="6" spans="1:28" ht="12.75" customHeight="1" x14ac:dyDescent="0.25">
      <c r="A6" s="221" t="s">
        <v>385</v>
      </c>
      <c r="B6" s="222" t="s">
        <v>334</v>
      </c>
      <c r="C6" s="222" t="s">
        <v>262</v>
      </c>
      <c r="D6" s="535" t="str">
        <f>VLOOKUP(C6,'Seznam HS - nemaš'!$A$1:$B$96,2,FALSE)</f>
        <v>487110</v>
      </c>
      <c r="E6" s="223" t="s">
        <v>335</v>
      </c>
      <c r="F6" s="224" t="s">
        <v>329</v>
      </c>
      <c r="G6" s="224" t="s">
        <v>386</v>
      </c>
      <c r="H6" s="284">
        <f>+IF(ISBLANK(I6),0,VLOOKUP(I6,'8Příloha_2_ceník_pravid_úklid'!$B$9:$C$30,2,0))</f>
        <v>4</v>
      </c>
      <c r="I6" s="225" t="s">
        <v>9</v>
      </c>
      <c r="J6" s="226">
        <v>13.82</v>
      </c>
      <c r="K6" s="225" t="s">
        <v>51</v>
      </c>
      <c r="L6" s="227" t="s">
        <v>387</v>
      </c>
      <c r="M6" s="228" t="s">
        <v>49</v>
      </c>
      <c r="N6" s="229" t="s">
        <v>501</v>
      </c>
      <c r="O6" s="230">
        <v>0</v>
      </c>
      <c r="P6" s="230">
        <v>0</v>
      </c>
      <c r="Q6" s="230">
        <v>0</v>
      </c>
      <c r="R6" s="230">
        <v>0</v>
      </c>
      <c r="S6" s="231">
        <f>NETWORKDAYS.INTL(DATE(2018,1,1),DATE(2018,12,31),1,{"2018/1/1";"2018/3/30";"2018/4/2";"2018/5/1";"2018/5/8";"2018/7/5";"2018/7/6";"2018/09/28";"2018/11/17";"2018/12/24";"2018/12/25";"2018/12/26"})</f>
        <v>250</v>
      </c>
      <c r="T6" s="231">
        <f t="shared" ref="T6:T52" si="0">U6-S6</f>
        <v>115</v>
      </c>
      <c r="U6" s="231">
        <f t="shared" ref="U6:U52" si="1">_xlfn.DAYS("1.1.2019","1.1.2018")</f>
        <v>365</v>
      </c>
      <c r="V6" s="232">
        <f>ROUND(O6*P6*S6+Q6*R6*T6,2)</f>
        <v>0</v>
      </c>
      <c r="W6" s="233">
        <f>ROUND(IF(N6="neoceňuje se",+J6*0*V6,J6*N6*V6),2)</f>
        <v>0</v>
      </c>
      <c r="X6" s="234">
        <f>ROUND(W6*1.21,2)</f>
        <v>0</v>
      </c>
      <c r="Y6" s="234">
        <v>0</v>
      </c>
      <c r="AA6" s="67"/>
      <c r="AB6" s="68"/>
    </row>
    <row r="7" spans="1:28" ht="12.75" customHeight="1" x14ac:dyDescent="0.25">
      <c r="A7" s="235" t="s">
        <v>385</v>
      </c>
      <c r="B7" s="236" t="s">
        <v>334</v>
      </c>
      <c r="C7" s="236" t="s">
        <v>263</v>
      </c>
      <c r="D7" s="535" t="str">
        <f>VLOOKUP(C7,'Seznam HS - nemaš'!$A$1:$B$96,2,FALSE)</f>
        <v>487270</v>
      </c>
      <c r="E7" s="237" t="s">
        <v>388</v>
      </c>
      <c r="F7" s="238" t="s">
        <v>389</v>
      </c>
      <c r="G7" s="238"/>
      <c r="H7" s="284">
        <f>+IF(ISBLANK(I7),0,VLOOKUP(I7,'8Příloha_2_ceník_pravid_úklid'!$B$9:$C$30,2,0))</f>
        <v>17</v>
      </c>
      <c r="I7" s="240" t="s">
        <v>13</v>
      </c>
      <c r="J7" s="241">
        <v>23.3</v>
      </c>
      <c r="K7" s="240" t="s">
        <v>337</v>
      </c>
      <c r="L7" s="242" t="s">
        <v>387</v>
      </c>
      <c r="M7" s="229" t="s">
        <v>49</v>
      </c>
      <c r="N7" s="229" t="s">
        <v>501</v>
      </c>
      <c r="O7" s="230">
        <v>0</v>
      </c>
      <c r="P7" s="230">
        <v>0</v>
      </c>
      <c r="Q7" s="230">
        <v>0</v>
      </c>
      <c r="R7" s="230">
        <v>0</v>
      </c>
      <c r="S7" s="231">
        <f>NETWORKDAYS.INTL(DATE(2018,1,1),DATE(2018,12,31),1,{"2018/1/1";"2018/3/30";"2018/4/2";"2018/5/1";"2018/5/8";"2018/7/5";"2018/7/6";"2018/09/28";"2018/11/17";"2018/12/24";"2018/12/25";"2018/12/26"})</f>
        <v>250</v>
      </c>
      <c r="T7" s="231">
        <f t="shared" si="0"/>
        <v>115</v>
      </c>
      <c r="U7" s="231">
        <f t="shared" si="1"/>
        <v>365</v>
      </c>
      <c r="V7" s="232">
        <f t="shared" ref="V7:V52" si="2">ROUND(O7*P7*S7+Q7*R7*T7,2)</f>
        <v>0</v>
      </c>
      <c r="W7" s="233">
        <f t="shared" ref="W7:W52" si="3">ROUND(IF(N7="neoceňuje se",+J7*0*V7,J7*N7*V7),2)</f>
        <v>0</v>
      </c>
      <c r="X7" s="234">
        <f t="shared" ref="X7:Y52" si="4">ROUND(W7*1.21,2)</f>
        <v>0</v>
      </c>
      <c r="Y7" s="234">
        <f t="shared" si="4"/>
        <v>0</v>
      </c>
      <c r="AA7" s="67"/>
      <c r="AB7" s="68"/>
    </row>
    <row r="8" spans="1:28" ht="12.75" customHeight="1" x14ac:dyDescent="0.25">
      <c r="A8" s="138" t="s">
        <v>385</v>
      </c>
      <c r="B8" s="142" t="s">
        <v>334</v>
      </c>
      <c r="C8" s="613" t="s">
        <v>262</v>
      </c>
      <c r="D8" s="139" t="str">
        <f>VLOOKUP(C8,'Seznam HS - nemaš'!$A$1:$B$96,2,FALSE)</f>
        <v>487110</v>
      </c>
      <c r="E8" s="243" t="s">
        <v>390</v>
      </c>
      <c r="F8" s="244" t="s">
        <v>336</v>
      </c>
      <c r="G8" s="244"/>
      <c r="H8" s="284">
        <f>+IF(ISBLANK(I8),0,VLOOKUP(I8,'8Příloha_2_ceník_pravid_úklid'!$B$9:$C$30,2,0))</f>
        <v>8</v>
      </c>
      <c r="I8" s="246" t="s">
        <v>11</v>
      </c>
      <c r="J8" s="247">
        <v>17.18</v>
      </c>
      <c r="K8" s="248" t="s">
        <v>337</v>
      </c>
      <c r="L8" s="146" t="s">
        <v>373</v>
      </c>
      <c r="M8" s="250" t="s">
        <v>49</v>
      </c>
      <c r="N8" s="19">
        <f>IF((VLOOKUP(I8,'8Příloha_2_ceník_pravid_úklid'!$B$9:$I$30,8,0))=0,VLOOKUP(I8,'8Příloha_2_ceník_pravid_úklid'!$B$9:$K$30,10,0),VLOOKUP(I8,'8Příloha_2_ceník_pravid_úklid'!$B$9:$I$30,8,0))</f>
        <v>0</v>
      </c>
      <c r="O8" s="20">
        <v>1</v>
      </c>
      <c r="P8" s="20">
        <f>3/5</f>
        <v>0.6</v>
      </c>
      <c r="Q8" s="20">
        <v>0</v>
      </c>
      <c r="R8" s="20">
        <v>0</v>
      </c>
      <c r="S8" s="21">
        <f>NETWORKDAYS.INTL(DATE(2018,1,1),DATE(2018,12,31),1,{"2018/1/1";"2018/3/30";"2018/4/2";"2018/5/1";"2018/5/8";"2018/7/5";"2018/7/6";"2018/09/28";"2018/11/17";"2018/12/24";"2018/12/25";"2018/12/26"})</f>
        <v>250</v>
      </c>
      <c r="T8" s="21">
        <f t="shared" si="0"/>
        <v>115</v>
      </c>
      <c r="U8" s="21">
        <f t="shared" si="1"/>
        <v>365</v>
      </c>
      <c r="V8" s="144">
        <f t="shared" si="2"/>
        <v>150</v>
      </c>
      <c r="W8" s="140">
        <f t="shared" si="3"/>
        <v>0</v>
      </c>
      <c r="X8" s="141">
        <f t="shared" si="4"/>
        <v>0</v>
      </c>
      <c r="Y8" s="141">
        <v>0</v>
      </c>
      <c r="AA8" s="67"/>
      <c r="AB8" s="68"/>
    </row>
    <row r="9" spans="1:28" ht="12.75" customHeight="1" x14ac:dyDescent="0.25">
      <c r="A9" s="251" t="s">
        <v>385</v>
      </c>
      <c r="B9" s="252" t="s">
        <v>334</v>
      </c>
      <c r="C9" s="252"/>
      <c r="D9" s="542">
        <f>VLOOKUP(C9,'Seznam HS - nemaš'!$A$1:$B$96,2,FALSE)</f>
        <v>0</v>
      </c>
      <c r="E9" s="253" t="s">
        <v>391</v>
      </c>
      <c r="F9" s="254" t="s">
        <v>53</v>
      </c>
      <c r="G9" s="254"/>
      <c r="H9" s="280">
        <f>+IF(ISBLANK(I9),0,VLOOKUP(I9,'8Příloha_2_ceník_pravid_úklid'!$B$9:$C$30,2,0))</f>
        <v>6</v>
      </c>
      <c r="I9" s="256" t="s">
        <v>1</v>
      </c>
      <c r="J9" s="257">
        <v>10.86</v>
      </c>
      <c r="K9" s="258" t="s">
        <v>51</v>
      </c>
      <c r="L9" s="259" t="s">
        <v>387</v>
      </c>
      <c r="M9" s="260" t="s">
        <v>49</v>
      </c>
      <c r="N9" s="260" t="s">
        <v>501</v>
      </c>
      <c r="O9" s="261">
        <v>0</v>
      </c>
      <c r="P9" s="261">
        <v>0</v>
      </c>
      <c r="Q9" s="261">
        <v>0</v>
      </c>
      <c r="R9" s="261">
        <v>0</v>
      </c>
      <c r="S9" s="262">
        <f>NETWORKDAYS.INTL(DATE(2018,1,1),DATE(2018,12,31),1,{"2018/1/1";"2018/3/30";"2018/4/2";"2018/5/1";"2018/5/8";"2018/7/5";"2018/7/6";"2018/09/28";"2018/11/17";"2018/12/24";"2018/12/25";"2018/12/26"})</f>
        <v>250</v>
      </c>
      <c r="T9" s="262">
        <f t="shared" si="0"/>
        <v>115</v>
      </c>
      <c r="U9" s="262">
        <f t="shared" si="1"/>
        <v>365</v>
      </c>
      <c r="V9" s="263">
        <f t="shared" si="2"/>
        <v>0</v>
      </c>
      <c r="W9" s="264">
        <f t="shared" si="3"/>
        <v>0</v>
      </c>
      <c r="X9" s="265">
        <f t="shared" si="4"/>
        <v>0</v>
      </c>
      <c r="Y9" s="265">
        <f t="shared" si="4"/>
        <v>0</v>
      </c>
      <c r="AA9" s="67"/>
      <c r="AB9" s="68"/>
    </row>
    <row r="10" spans="1:28" ht="12.75" customHeight="1" x14ac:dyDescent="0.25">
      <c r="A10" s="221" t="s">
        <v>385</v>
      </c>
      <c r="B10" s="222" t="s">
        <v>54</v>
      </c>
      <c r="C10" s="222"/>
      <c r="D10" s="535">
        <f>VLOOKUP(C10,'Seznam HS - nemaš'!$A$1:$B$96,2,FALSE)</f>
        <v>0</v>
      </c>
      <c r="E10" s="223" t="s">
        <v>343</v>
      </c>
      <c r="F10" s="266" t="s">
        <v>392</v>
      </c>
      <c r="G10" s="266" t="s">
        <v>393</v>
      </c>
      <c r="H10" s="284">
        <f>+IF(ISBLANK(I10),0,VLOOKUP(I10,'8Příloha_2_ceník_pravid_úklid'!$B$9:$C$30,2,0))</f>
        <v>6</v>
      </c>
      <c r="I10" s="267" t="s">
        <v>1</v>
      </c>
      <c r="J10" s="226">
        <v>31.92</v>
      </c>
      <c r="K10" s="225" t="s">
        <v>50</v>
      </c>
      <c r="L10" s="227" t="s">
        <v>387</v>
      </c>
      <c r="M10" s="228" t="s">
        <v>49</v>
      </c>
      <c r="N10" s="228" t="s">
        <v>501</v>
      </c>
      <c r="O10" s="268">
        <v>0</v>
      </c>
      <c r="P10" s="268">
        <v>0</v>
      </c>
      <c r="Q10" s="268">
        <v>0</v>
      </c>
      <c r="R10" s="268">
        <v>0</v>
      </c>
      <c r="S10" s="269">
        <f>NETWORKDAYS.INTL(DATE(2018,1,1),DATE(2018,12,31),1,{"2018/1/1";"2018/3/30";"2018/4/2";"2018/5/1";"2018/5/8";"2018/7/5";"2018/7/6";"2018/09/28";"2018/11/17";"2018/12/24";"2018/12/25";"2018/12/26"})</f>
        <v>250</v>
      </c>
      <c r="T10" s="269">
        <f t="shared" si="0"/>
        <v>115</v>
      </c>
      <c r="U10" s="269">
        <f t="shared" si="1"/>
        <v>365</v>
      </c>
      <c r="V10" s="270">
        <f t="shared" si="2"/>
        <v>0</v>
      </c>
      <c r="W10" s="271">
        <f t="shared" si="3"/>
        <v>0</v>
      </c>
      <c r="X10" s="272">
        <f t="shared" si="4"/>
        <v>0</v>
      </c>
      <c r="Y10" s="272">
        <f t="shared" si="4"/>
        <v>0</v>
      </c>
      <c r="AA10" s="67"/>
      <c r="AB10" s="68"/>
    </row>
    <row r="11" spans="1:28" ht="12.75" customHeight="1" x14ac:dyDescent="0.25">
      <c r="A11" s="138" t="s">
        <v>385</v>
      </c>
      <c r="B11" s="142" t="s">
        <v>54</v>
      </c>
      <c r="C11" s="148" t="s">
        <v>240</v>
      </c>
      <c r="D11" s="139" t="str">
        <f>VLOOKUP(C11,'Seznam HS - nemaš'!$A$1:$B$96,2,FALSE)</f>
        <v>481000</v>
      </c>
      <c r="E11" s="243" t="s">
        <v>394</v>
      </c>
      <c r="F11" s="244" t="s">
        <v>395</v>
      </c>
      <c r="G11" s="244"/>
      <c r="H11" s="284">
        <f>+IF(ISBLANK(I11),0,VLOOKUP(I11,'8Příloha_2_ceník_pravid_úklid'!$B$9:$C$30,2,0))</f>
        <v>18</v>
      </c>
      <c r="I11" s="246" t="s">
        <v>16</v>
      </c>
      <c r="J11" s="247">
        <v>5.6</v>
      </c>
      <c r="K11" s="248" t="s">
        <v>51</v>
      </c>
      <c r="L11" s="249" t="s">
        <v>21</v>
      </c>
      <c r="M11" s="250" t="s">
        <v>49</v>
      </c>
      <c r="N11" s="19">
        <f>IF((VLOOKUP(I11,'8Příloha_2_ceník_pravid_úklid'!$B$9:$I$30,8,0))=0,VLOOKUP(I11,'8Příloha_2_ceník_pravid_úklid'!$B$9:$K$30,10,0),VLOOKUP(I11,'8Příloha_2_ceník_pravid_úklid'!$B$9:$I$30,8,0))</f>
        <v>0</v>
      </c>
      <c r="O11" s="20">
        <v>1</v>
      </c>
      <c r="P11" s="20">
        <v>1</v>
      </c>
      <c r="Q11" s="20">
        <v>0</v>
      </c>
      <c r="R11" s="20">
        <v>0</v>
      </c>
      <c r="S11" s="21">
        <f>NETWORKDAYS.INTL(DATE(2018,1,1),DATE(2018,12,31),1,{"2018/1/1";"2018/3/30";"2018/4/2";"2018/5/1";"2018/5/8";"2018/7/5";"2018/7/6";"2018/09/28";"2018/11/17";"2018/12/24";"2018/12/25";"2018/12/26"})</f>
        <v>250</v>
      </c>
      <c r="T11" s="21">
        <f t="shared" si="0"/>
        <v>115</v>
      </c>
      <c r="U11" s="21">
        <f t="shared" si="1"/>
        <v>365</v>
      </c>
      <c r="V11" s="144">
        <f t="shared" si="2"/>
        <v>250</v>
      </c>
      <c r="W11" s="140">
        <f t="shared" si="3"/>
        <v>0</v>
      </c>
      <c r="X11" s="141">
        <f t="shared" si="4"/>
        <v>0</v>
      </c>
      <c r="Y11" s="612">
        <v>0</v>
      </c>
      <c r="AA11" s="67"/>
      <c r="AB11" s="68"/>
    </row>
    <row r="12" spans="1:28" ht="12.75" customHeight="1" x14ac:dyDescent="0.25">
      <c r="A12" s="235" t="s">
        <v>385</v>
      </c>
      <c r="B12" s="236" t="s">
        <v>54</v>
      </c>
      <c r="C12" s="236"/>
      <c r="D12" s="535">
        <f>VLOOKUP(C12,'Seznam HS - nemaš'!$A$1:$B$96,2,FALSE)</f>
        <v>0</v>
      </c>
      <c r="E12" s="237" t="s">
        <v>396</v>
      </c>
      <c r="F12" s="238" t="s">
        <v>397</v>
      </c>
      <c r="G12" s="238"/>
      <c r="H12" s="284">
        <f>+IF(ISBLANK(I12),0,VLOOKUP(I12,'8Příloha_2_ceník_pravid_úklid'!$B$9:$C$30,2,0))</f>
        <v>6</v>
      </c>
      <c r="I12" s="273" t="s">
        <v>1</v>
      </c>
      <c r="J12" s="241">
        <v>4.96</v>
      </c>
      <c r="K12" s="240" t="s">
        <v>51</v>
      </c>
      <c r="L12" s="242" t="s">
        <v>398</v>
      </c>
      <c r="M12" s="229" t="s">
        <v>49</v>
      </c>
      <c r="N12" s="229" t="s">
        <v>501</v>
      </c>
      <c r="O12" s="230">
        <v>0</v>
      </c>
      <c r="P12" s="230">
        <v>0</v>
      </c>
      <c r="Q12" s="230">
        <v>0</v>
      </c>
      <c r="R12" s="230">
        <v>0</v>
      </c>
      <c r="S12" s="231">
        <f>NETWORKDAYS.INTL(DATE(2018,1,1),DATE(2018,12,31),1,{"2018/1/1";"2018/3/30";"2018/4/2";"2018/5/1";"2018/5/8";"2018/7/5";"2018/7/6";"2018/09/28";"2018/11/17";"2018/12/24";"2018/12/25";"2018/12/26"})</f>
        <v>250</v>
      </c>
      <c r="T12" s="231">
        <f t="shared" si="0"/>
        <v>115</v>
      </c>
      <c r="U12" s="231">
        <f t="shared" si="1"/>
        <v>365</v>
      </c>
      <c r="V12" s="274">
        <f t="shared" si="2"/>
        <v>0</v>
      </c>
      <c r="W12" s="233">
        <f t="shared" si="3"/>
        <v>0</v>
      </c>
      <c r="X12" s="234">
        <f t="shared" si="4"/>
        <v>0</v>
      </c>
      <c r="Y12" s="234">
        <f t="shared" si="4"/>
        <v>0</v>
      </c>
      <c r="AA12" s="67"/>
      <c r="AB12" s="68"/>
    </row>
    <row r="13" spans="1:28" ht="12.75" customHeight="1" x14ac:dyDescent="0.25">
      <c r="A13" s="138" t="s">
        <v>385</v>
      </c>
      <c r="B13" s="142" t="s">
        <v>54</v>
      </c>
      <c r="C13" s="142" t="s">
        <v>270</v>
      </c>
      <c r="D13" s="139" t="str">
        <f>VLOOKUP(C13,'Seznam HS - nemaš'!$A$1:$B$96,2,FALSE)</f>
        <v>487620</v>
      </c>
      <c r="E13" s="243" t="s">
        <v>399</v>
      </c>
      <c r="F13" s="244" t="s">
        <v>329</v>
      </c>
      <c r="G13" s="244" t="s">
        <v>400</v>
      </c>
      <c r="H13" s="284">
        <f>+IF(ISBLANK(I13),0,VLOOKUP(I13,'8Příloha_2_ceník_pravid_úklid'!$B$9:$C$30,2,0))</f>
        <v>4</v>
      </c>
      <c r="I13" s="143" t="s">
        <v>9</v>
      </c>
      <c r="J13" s="145">
        <v>10.64</v>
      </c>
      <c r="K13" s="275" t="s">
        <v>51</v>
      </c>
      <c r="L13" s="146" t="s">
        <v>338</v>
      </c>
      <c r="M13" s="19" t="s">
        <v>49</v>
      </c>
      <c r="N13" s="19">
        <f>IF((VLOOKUP(I13,'8Příloha_2_ceník_pravid_úklid'!$B$9:$I$30,8,0))=0,VLOOKUP(I13,'8Příloha_2_ceník_pravid_úklid'!$B$9:$K$30,10,0),VLOOKUP(I13,'8Příloha_2_ceník_pravid_úklid'!$B$9:$I$30,8,0))</f>
        <v>0</v>
      </c>
      <c r="O13" s="20">
        <v>1</v>
      </c>
      <c r="P13" s="20">
        <f>2/5</f>
        <v>0.4</v>
      </c>
      <c r="Q13" s="20">
        <v>0</v>
      </c>
      <c r="R13" s="20">
        <v>0</v>
      </c>
      <c r="S13" s="21">
        <f>NETWORKDAYS.INTL(DATE(2018,1,1),DATE(2018,12,31),1,{"2018/1/1";"2018/3/30";"2018/4/2";"2018/5/1";"2018/5/8";"2018/7/5";"2018/7/6";"2018/09/28";"2018/11/17";"2018/12/24";"2018/12/25";"2018/12/26"})</f>
        <v>250</v>
      </c>
      <c r="T13" s="21">
        <f t="shared" si="0"/>
        <v>115</v>
      </c>
      <c r="U13" s="21">
        <f t="shared" si="1"/>
        <v>365</v>
      </c>
      <c r="V13" s="144">
        <f t="shared" si="2"/>
        <v>100</v>
      </c>
      <c r="W13" s="140">
        <f t="shared" si="3"/>
        <v>0</v>
      </c>
      <c r="X13" s="141">
        <f t="shared" si="4"/>
        <v>0</v>
      </c>
      <c r="Y13" s="141">
        <v>0</v>
      </c>
    </row>
    <row r="14" spans="1:28" ht="12.75" customHeight="1" x14ac:dyDescent="0.25">
      <c r="A14" s="138" t="s">
        <v>385</v>
      </c>
      <c r="B14" s="142" t="s">
        <v>54</v>
      </c>
      <c r="C14" s="148" t="s">
        <v>240</v>
      </c>
      <c r="D14" s="139" t="str">
        <f>VLOOKUP(C14,'Seznam HS - nemaš'!$A$1:$B$96,2,FALSE)</f>
        <v>481000</v>
      </c>
      <c r="E14" s="243" t="s">
        <v>401</v>
      </c>
      <c r="F14" s="244" t="s">
        <v>402</v>
      </c>
      <c r="G14" s="244" t="s">
        <v>403</v>
      </c>
      <c r="H14" s="284">
        <f>+IF(ISBLANK(I14),0,VLOOKUP(I14,'8Příloha_2_ceník_pravid_úklid'!$B$9:$C$30,2,0))</f>
        <v>7</v>
      </c>
      <c r="I14" s="143" t="s">
        <v>14</v>
      </c>
      <c r="J14" s="145">
        <v>1.3</v>
      </c>
      <c r="K14" s="275" t="s">
        <v>51</v>
      </c>
      <c r="L14" s="156" t="s">
        <v>21</v>
      </c>
      <c r="M14" s="19" t="s">
        <v>49</v>
      </c>
      <c r="N14" s="19">
        <f>IF((VLOOKUP(I14,'8Příloha_2_ceník_pravid_úklid'!$B$9:$I$30,8,0))=0,VLOOKUP(I14,'8Příloha_2_ceník_pravid_úklid'!$B$9:$K$30,10,0),VLOOKUP(I14,'8Příloha_2_ceník_pravid_úklid'!$B$9:$I$30,8,0))</f>
        <v>0</v>
      </c>
      <c r="O14" s="20">
        <v>1</v>
      </c>
      <c r="P14" s="20">
        <v>1</v>
      </c>
      <c r="Q14" s="20">
        <v>0</v>
      </c>
      <c r="R14" s="20">
        <v>0</v>
      </c>
      <c r="S14" s="21">
        <f>NETWORKDAYS.INTL(DATE(2018,1,1),DATE(2018,12,31),1,{"2018/1/1";"2018/3/30";"2018/4/2";"2018/5/1";"2018/5/8";"2018/7/5";"2018/7/6";"2018/09/28";"2018/11/17";"2018/12/24";"2018/12/25";"2018/12/26"})</f>
        <v>250</v>
      </c>
      <c r="T14" s="21">
        <f t="shared" si="0"/>
        <v>115</v>
      </c>
      <c r="U14" s="21">
        <f t="shared" si="1"/>
        <v>365</v>
      </c>
      <c r="V14" s="144">
        <f t="shared" si="2"/>
        <v>250</v>
      </c>
      <c r="W14" s="140">
        <f t="shared" si="3"/>
        <v>0</v>
      </c>
      <c r="X14" s="141">
        <f t="shared" si="4"/>
        <v>0</v>
      </c>
      <c r="Y14" s="141">
        <v>0</v>
      </c>
    </row>
    <row r="15" spans="1:28" ht="12.75" customHeight="1" x14ac:dyDescent="0.25">
      <c r="A15" s="138" t="s">
        <v>385</v>
      </c>
      <c r="B15" s="142" t="s">
        <v>54</v>
      </c>
      <c r="C15" s="148" t="s">
        <v>240</v>
      </c>
      <c r="D15" s="139" t="str">
        <f>VLOOKUP(C15,'Seznam HS - nemaš'!$A$1:$B$96,2,FALSE)</f>
        <v>481000</v>
      </c>
      <c r="E15" s="243" t="s">
        <v>404</v>
      </c>
      <c r="F15" s="244" t="s">
        <v>405</v>
      </c>
      <c r="G15" s="244" t="s">
        <v>403</v>
      </c>
      <c r="H15" s="284">
        <f>+IF(ISBLANK(I15),0,VLOOKUP(I15,'8Příloha_2_ceník_pravid_úklid'!$B$9:$C$30,2,0))</f>
        <v>7</v>
      </c>
      <c r="I15" s="143" t="s">
        <v>14</v>
      </c>
      <c r="J15" s="145">
        <v>2.4</v>
      </c>
      <c r="K15" s="275" t="s">
        <v>50</v>
      </c>
      <c r="L15" s="198" t="s">
        <v>332</v>
      </c>
      <c r="M15" s="22" t="s">
        <v>49</v>
      </c>
      <c r="N15" s="19">
        <f>IF((VLOOKUP(I15,'8Příloha_2_ceník_pravid_úklid'!$B$9:$I$30,8,0))=0,VLOOKUP(I15,'8Příloha_2_ceník_pravid_úklid'!$B$9:$K$30,10,0),VLOOKUP(I15,'8Příloha_2_ceník_pravid_úklid'!$B$9:$I$30,8,0))</f>
        <v>0</v>
      </c>
      <c r="O15" s="20">
        <v>1</v>
      </c>
      <c r="P15" s="20">
        <f>1/5</f>
        <v>0.2</v>
      </c>
      <c r="Q15" s="20">
        <v>0</v>
      </c>
      <c r="R15" s="20">
        <v>0</v>
      </c>
      <c r="S15" s="21">
        <f>NETWORKDAYS.INTL(DATE(2018,1,1),DATE(2018,12,31),1,{"2018/1/1";"2018/3/30";"2018/4/2";"2018/5/1";"2018/5/8";"2018/7/5";"2018/7/6";"2018/09/28";"2018/11/17";"2018/12/24";"2018/12/25";"2018/12/26"})</f>
        <v>250</v>
      </c>
      <c r="T15" s="21">
        <f t="shared" si="0"/>
        <v>115</v>
      </c>
      <c r="U15" s="21">
        <f t="shared" si="1"/>
        <v>365</v>
      </c>
      <c r="V15" s="144">
        <f t="shared" si="2"/>
        <v>50</v>
      </c>
      <c r="W15" s="140">
        <f t="shared" si="3"/>
        <v>0</v>
      </c>
      <c r="X15" s="141">
        <f t="shared" si="4"/>
        <v>0</v>
      </c>
      <c r="Y15" s="141">
        <v>0</v>
      </c>
    </row>
    <row r="16" spans="1:28" ht="12.75" customHeight="1" x14ac:dyDescent="0.25">
      <c r="A16" s="138" t="s">
        <v>385</v>
      </c>
      <c r="B16" s="142" t="s">
        <v>54</v>
      </c>
      <c r="C16" s="148" t="s">
        <v>240</v>
      </c>
      <c r="D16" s="139" t="str">
        <f>VLOOKUP(C16,'Seznam HS - nemaš'!$A$1:$B$96,2,FALSE)</f>
        <v>481000</v>
      </c>
      <c r="E16" s="243" t="s">
        <v>406</v>
      </c>
      <c r="F16" s="244" t="s">
        <v>402</v>
      </c>
      <c r="G16" s="244" t="s">
        <v>407</v>
      </c>
      <c r="H16" s="284">
        <f>+IF(ISBLANK(I16),0,VLOOKUP(I16,'8Příloha_2_ceník_pravid_úklid'!$B$9:$C$30,2,0))</f>
        <v>7</v>
      </c>
      <c r="I16" s="143" t="s">
        <v>14</v>
      </c>
      <c r="J16" s="145">
        <v>1.4</v>
      </c>
      <c r="K16" s="275" t="s">
        <v>50</v>
      </c>
      <c r="L16" s="156" t="s">
        <v>21</v>
      </c>
      <c r="M16" s="19" t="s">
        <v>49</v>
      </c>
      <c r="N16" s="19">
        <f>IF((VLOOKUP(I16,'8Příloha_2_ceník_pravid_úklid'!$B$9:$I$30,8,0))=0,VLOOKUP(I16,'8Příloha_2_ceník_pravid_úklid'!$B$9:$K$30,10,0),VLOOKUP(I16,'8Příloha_2_ceník_pravid_úklid'!$B$9:$I$30,8,0))</f>
        <v>0</v>
      </c>
      <c r="O16" s="20">
        <v>1</v>
      </c>
      <c r="P16" s="20">
        <v>1</v>
      </c>
      <c r="Q16" s="20">
        <v>0</v>
      </c>
      <c r="R16" s="20">
        <v>0</v>
      </c>
      <c r="S16" s="21">
        <f>NETWORKDAYS.INTL(DATE(2018,1,1),DATE(2018,12,31),1,{"2018/1/1";"2018/3/30";"2018/4/2";"2018/5/1";"2018/5/8";"2018/7/5";"2018/7/6";"2018/09/28";"2018/11/17";"2018/12/24";"2018/12/25";"2018/12/26"})</f>
        <v>250</v>
      </c>
      <c r="T16" s="21">
        <f t="shared" si="0"/>
        <v>115</v>
      </c>
      <c r="U16" s="21">
        <f t="shared" si="1"/>
        <v>365</v>
      </c>
      <c r="V16" s="144">
        <f t="shared" si="2"/>
        <v>250</v>
      </c>
      <c r="W16" s="140">
        <f t="shared" si="3"/>
        <v>0</v>
      </c>
      <c r="X16" s="141">
        <f t="shared" si="4"/>
        <v>0</v>
      </c>
      <c r="Y16" s="141">
        <v>0</v>
      </c>
    </row>
    <row r="17" spans="1:25" ht="12.75" customHeight="1" x14ac:dyDescent="0.25">
      <c r="A17" s="138" t="s">
        <v>385</v>
      </c>
      <c r="B17" s="142" t="s">
        <v>54</v>
      </c>
      <c r="C17" s="148" t="s">
        <v>240</v>
      </c>
      <c r="D17" s="139" t="str">
        <f>VLOOKUP(C17,'Seznam HS - nemaš'!$A$1:$B$96,2,FALSE)</f>
        <v>481000</v>
      </c>
      <c r="E17" s="243" t="s">
        <v>408</v>
      </c>
      <c r="F17" s="244" t="s">
        <v>402</v>
      </c>
      <c r="G17" s="244" t="s">
        <v>409</v>
      </c>
      <c r="H17" s="284">
        <f>+IF(ISBLANK(I17),0,VLOOKUP(I17,'8Příloha_2_ceník_pravid_úklid'!$B$9:$C$30,2,0))</f>
        <v>7</v>
      </c>
      <c r="I17" s="143" t="s">
        <v>14</v>
      </c>
      <c r="J17" s="145">
        <v>2.59</v>
      </c>
      <c r="K17" s="275" t="s">
        <v>50</v>
      </c>
      <c r="L17" s="156" t="s">
        <v>21</v>
      </c>
      <c r="M17" s="19" t="s">
        <v>49</v>
      </c>
      <c r="N17" s="19">
        <f>IF((VLOOKUP(I17,'8Příloha_2_ceník_pravid_úklid'!$B$9:$I$30,8,0))=0,VLOOKUP(I17,'8Příloha_2_ceník_pravid_úklid'!$B$9:$K$30,10,0),VLOOKUP(I17,'8Příloha_2_ceník_pravid_úklid'!$B$9:$I$30,8,0))</f>
        <v>0</v>
      </c>
      <c r="O17" s="20">
        <v>1</v>
      </c>
      <c r="P17" s="20">
        <v>1</v>
      </c>
      <c r="Q17" s="20">
        <v>0</v>
      </c>
      <c r="R17" s="20">
        <v>0</v>
      </c>
      <c r="S17" s="21">
        <f>NETWORKDAYS.INTL(DATE(2018,1,1),DATE(2018,12,31),1,{"2018/1/1";"2018/3/30";"2018/4/2";"2018/5/1";"2018/5/8";"2018/7/5";"2018/7/6";"2018/09/28";"2018/11/17";"2018/12/24";"2018/12/25";"2018/12/26"})</f>
        <v>250</v>
      </c>
      <c r="T17" s="21">
        <f t="shared" si="0"/>
        <v>115</v>
      </c>
      <c r="U17" s="21">
        <f t="shared" si="1"/>
        <v>365</v>
      </c>
      <c r="V17" s="144">
        <f t="shared" si="2"/>
        <v>250</v>
      </c>
      <c r="W17" s="140">
        <f t="shared" si="3"/>
        <v>0</v>
      </c>
      <c r="X17" s="141">
        <f t="shared" si="4"/>
        <v>0</v>
      </c>
      <c r="Y17" s="141">
        <v>0</v>
      </c>
    </row>
    <row r="18" spans="1:25" ht="12.75" customHeight="1" x14ac:dyDescent="0.25">
      <c r="A18" s="138" t="s">
        <v>385</v>
      </c>
      <c r="B18" s="142" t="s">
        <v>54</v>
      </c>
      <c r="C18" s="148" t="s">
        <v>240</v>
      </c>
      <c r="D18" s="139" t="str">
        <f>VLOOKUP(C18,'Seznam HS - nemaš'!$A$1:$B$96,2,FALSE)</f>
        <v>481000</v>
      </c>
      <c r="E18" s="243" t="s">
        <v>410</v>
      </c>
      <c r="F18" s="244" t="s">
        <v>402</v>
      </c>
      <c r="G18" s="244" t="s">
        <v>411</v>
      </c>
      <c r="H18" s="284">
        <f>+IF(ISBLANK(I18),0,VLOOKUP(I18,'8Příloha_2_ceník_pravid_úklid'!$B$9:$C$30,2,0))</f>
        <v>7</v>
      </c>
      <c r="I18" s="143" t="s">
        <v>14</v>
      </c>
      <c r="J18" s="145">
        <v>3.83</v>
      </c>
      <c r="K18" s="275" t="s">
        <v>51</v>
      </c>
      <c r="L18" s="156" t="s">
        <v>21</v>
      </c>
      <c r="M18" s="19" t="s">
        <v>49</v>
      </c>
      <c r="N18" s="19">
        <f>IF((VLOOKUP(I18,'8Příloha_2_ceník_pravid_úklid'!$B$9:$I$30,8,0))=0,VLOOKUP(I18,'8Příloha_2_ceník_pravid_úklid'!$B$9:$K$30,10,0),VLOOKUP(I18,'8Příloha_2_ceník_pravid_úklid'!$B$9:$I$30,8,0))</f>
        <v>0</v>
      </c>
      <c r="O18" s="20">
        <v>1</v>
      </c>
      <c r="P18" s="20">
        <v>1</v>
      </c>
      <c r="Q18" s="20">
        <v>0</v>
      </c>
      <c r="R18" s="20">
        <v>0</v>
      </c>
      <c r="S18" s="21">
        <f>NETWORKDAYS.INTL(DATE(2018,1,1),DATE(2018,12,31),1,{"2018/1/1";"2018/3/30";"2018/4/2";"2018/5/1";"2018/5/8";"2018/7/5";"2018/7/6";"2018/09/28";"2018/11/17";"2018/12/24";"2018/12/25";"2018/12/26"})</f>
        <v>250</v>
      </c>
      <c r="T18" s="21">
        <f t="shared" si="0"/>
        <v>115</v>
      </c>
      <c r="U18" s="21">
        <f t="shared" si="1"/>
        <v>365</v>
      </c>
      <c r="V18" s="144">
        <f t="shared" si="2"/>
        <v>250</v>
      </c>
      <c r="W18" s="140">
        <f t="shared" si="3"/>
        <v>0</v>
      </c>
      <c r="X18" s="141">
        <f t="shared" si="4"/>
        <v>0</v>
      </c>
      <c r="Y18" s="141">
        <v>0</v>
      </c>
    </row>
    <row r="19" spans="1:25" ht="12.75" customHeight="1" x14ac:dyDescent="0.25">
      <c r="A19" s="138" t="s">
        <v>385</v>
      </c>
      <c r="B19" s="142" t="s">
        <v>54</v>
      </c>
      <c r="C19" s="148" t="s">
        <v>240</v>
      </c>
      <c r="D19" s="139" t="str">
        <f>VLOOKUP(C19,'Seznam HS - nemaš'!$A$1:$B$96,2,FALSE)</f>
        <v>481000</v>
      </c>
      <c r="E19" s="243" t="s">
        <v>412</v>
      </c>
      <c r="F19" s="244" t="s">
        <v>350</v>
      </c>
      <c r="G19" s="244" t="s">
        <v>413</v>
      </c>
      <c r="H19" s="284">
        <f>+IF(ISBLANK(I19),0,VLOOKUP(I19,'8Příloha_2_ceník_pravid_úklid'!$B$9:$C$30,2,0))</f>
        <v>6</v>
      </c>
      <c r="I19" s="143" t="s">
        <v>1</v>
      </c>
      <c r="J19" s="145">
        <v>41</v>
      </c>
      <c r="K19" s="275" t="s">
        <v>51</v>
      </c>
      <c r="L19" s="156" t="s">
        <v>21</v>
      </c>
      <c r="M19" s="19" t="s">
        <v>49</v>
      </c>
      <c r="N19" s="19">
        <f>IF((VLOOKUP(I19,'8Příloha_2_ceník_pravid_úklid'!$B$9:$I$30,8,0))=0,VLOOKUP(I19,'8Příloha_2_ceník_pravid_úklid'!$B$9:$K$30,10,0),VLOOKUP(I19,'8Příloha_2_ceník_pravid_úklid'!$B$9:$I$30,8,0))</f>
        <v>0</v>
      </c>
      <c r="O19" s="20">
        <v>1</v>
      </c>
      <c r="P19" s="20">
        <v>1</v>
      </c>
      <c r="Q19" s="20">
        <v>0</v>
      </c>
      <c r="R19" s="20">
        <v>0</v>
      </c>
      <c r="S19" s="21">
        <f>NETWORKDAYS.INTL(DATE(2018,1,1),DATE(2018,12,31),1,{"2018/1/1";"2018/3/30";"2018/4/2";"2018/5/1";"2018/5/8";"2018/7/5";"2018/7/6";"2018/09/28";"2018/11/17";"2018/12/24";"2018/12/25";"2018/12/26"})</f>
        <v>250</v>
      </c>
      <c r="T19" s="21">
        <f t="shared" si="0"/>
        <v>115</v>
      </c>
      <c r="U19" s="21">
        <f t="shared" si="1"/>
        <v>365</v>
      </c>
      <c r="V19" s="144">
        <f t="shared" si="2"/>
        <v>250</v>
      </c>
      <c r="W19" s="140">
        <f t="shared" si="3"/>
        <v>0</v>
      </c>
      <c r="X19" s="141">
        <f t="shared" si="4"/>
        <v>0</v>
      </c>
      <c r="Y19" s="141">
        <v>0</v>
      </c>
    </row>
    <row r="20" spans="1:25" ht="12.75" customHeight="1" x14ac:dyDescent="0.25">
      <c r="A20" s="235" t="s">
        <v>385</v>
      </c>
      <c r="B20" s="236" t="s">
        <v>54</v>
      </c>
      <c r="C20" s="236"/>
      <c r="D20" s="535">
        <f>VLOOKUP(C20,'Seznam HS - nemaš'!$A$1:$B$96,2,FALSE)</f>
        <v>0</v>
      </c>
      <c r="E20" s="237" t="s">
        <v>414</v>
      </c>
      <c r="F20" s="238" t="s">
        <v>397</v>
      </c>
      <c r="G20" s="238"/>
      <c r="H20" s="284">
        <f>+IF(ISBLANK(I20),0,VLOOKUP(I20,'8Příloha_2_ceník_pravid_úklid'!$B$9:$C$30,2,0))</f>
        <v>6</v>
      </c>
      <c r="I20" s="273" t="s">
        <v>1</v>
      </c>
      <c r="J20" s="241">
        <v>4.8</v>
      </c>
      <c r="K20" s="240" t="s">
        <v>51</v>
      </c>
      <c r="L20" s="242" t="s">
        <v>387</v>
      </c>
      <c r="M20" s="229" t="s">
        <v>49</v>
      </c>
      <c r="N20" s="229" t="s">
        <v>501</v>
      </c>
      <c r="O20" s="230">
        <v>0</v>
      </c>
      <c r="P20" s="230">
        <v>0</v>
      </c>
      <c r="Q20" s="230">
        <v>0</v>
      </c>
      <c r="R20" s="230">
        <v>0</v>
      </c>
      <c r="S20" s="231">
        <f>NETWORKDAYS.INTL(DATE(2018,1,1),DATE(2018,12,31),1,{"2018/1/1";"2018/3/30";"2018/4/2";"2018/5/1";"2018/5/8";"2018/7/5";"2018/7/6";"2018/09/28";"2018/11/17";"2018/12/24";"2018/12/25";"2018/12/26"})</f>
        <v>250</v>
      </c>
      <c r="T20" s="231">
        <f t="shared" si="0"/>
        <v>115</v>
      </c>
      <c r="U20" s="231">
        <f t="shared" si="1"/>
        <v>365</v>
      </c>
      <c r="V20" s="232">
        <f t="shared" si="2"/>
        <v>0</v>
      </c>
      <c r="W20" s="233">
        <f t="shared" si="3"/>
        <v>0</v>
      </c>
      <c r="X20" s="234">
        <f t="shared" si="4"/>
        <v>0</v>
      </c>
      <c r="Y20" s="234">
        <f t="shared" si="4"/>
        <v>0</v>
      </c>
    </row>
    <row r="21" spans="1:25" ht="12.75" customHeight="1" x14ac:dyDescent="0.25">
      <c r="A21" s="138" t="s">
        <v>385</v>
      </c>
      <c r="B21" s="142" t="s">
        <v>54</v>
      </c>
      <c r="C21" s="148" t="s">
        <v>240</v>
      </c>
      <c r="D21" s="139" t="str">
        <f>VLOOKUP(C21,'Seznam HS - nemaš'!$A$1:$B$96,2,FALSE)</f>
        <v>481000</v>
      </c>
      <c r="E21" s="243" t="s">
        <v>415</v>
      </c>
      <c r="F21" s="244" t="s">
        <v>336</v>
      </c>
      <c r="G21" s="244"/>
      <c r="H21" s="284">
        <f>+IF(ISBLANK(I21),0,VLOOKUP(I21,'8Příloha_2_ceník_pravid_úklid'!$B$9:$C$30,2,0))</f>
        <v>8</v>
      </c>
      <c r="I21" s="143" t="s">
        <v>11</v>
      </c>
      <c r="J21" s="145">
        <v>15.12</v>
      </c>
      <c r="K21" s="275" t="s">
        <v>337</v>
      </c>
      <c r="L21" s="156" t="s">
        <v>21</v>
      </c>
      <c r="M21" s="19" t="s">
        <v>49</v>
      </c>
      <c r="N21" s="19">
        <f>IF((VLOOKUP(I21,'8Příloha_2_ceník_pravid_úklid'!$B$9:$I$30,8,0))=0,VLOOKUP(I21,'8Příloha_2_ceník_pravid_úklid'!$B$9:$K$30,10,0),VLOOKUP(I21,'8Příloha_2_ceník_pravid_úklid'!$B$9:$I$30,8,0))</f>
        <v>0</v>
      </c>
      <c r="O21" s="20">
        <v>1</v>
      </c>
      <c r="P21" s="20">
        <v>1</v>
      </c>
      <c r="Q21" s="20">
        <v>0</v>
      </c>
      <c r="R21" s="20">
        <v>0</v>
      </c>
      <c r="S21" s="21">
        <f>NETWORKDAYS.INTL(DATE(2018,1,1),DATE(2018,12,31),1,{"2018/1/1";"2018/3/30";"2018/4/2";"2018/5/1";"2018/5/8";"2018/7/5";"2018/7/6";"2018/09/28";"2018/11/17";"2018/12/24";"2018/12/25";"2018/12/26"})</f>
        <v>250</v>
      </c>
      <c r="T21" s="21">
        <f t="shared" si="0"/>
        <v>115</v>
      </c>
      <c r="U21" s="21">
        <f t="shared" si="1"/>
        <v>365</v>
      </c>
      <c r="V21" s="144">
        <f t="shared" si="2"/>
        <v>250</v>
      </c>
      <c r="W21" s="140">
        <f t="shared" si="3"/>
        <v>0</v>
      </c>
      <c r="X21" s="141">
        <f t="shared" si="4"/>
        <v>0</v>
      </c>
      <c r="Y21" s="141">
        <v>0</v>
      </c>
    </row>
    <row r="22" spans="1:25" ht="12.75" customHeight="1" x14ac:dyDescent="0.25">
      <c r="A22" s="138" t="s">
        <v>385</v>
      </c>
      <c r="B22" s="142" t="s">
        <v>54</v>
      </c>
      <c r="C22" s="142" t="s">
        <v>266</v>
      </c>
      <c r="D22" s="139" t="str">
        <f>VLOOKUP(C22,'Seznam HS - nemaš'!$A$1:$B$96,2,FALSE)</f>
        <v>487500</v>
      </c>
      <c r="E22" s="243" t="s">
        <v>416</v>
      </c>
      <c r="F22" s="244" t="s">
        <v>329</v>
      </c>
      <c r="G22" s="244" t="s">
        <v>417</v>
      </c>
      <c r="H22" s="284">
        <f>+IF(ISBLANK(I22),0,VLOOKUP(I22,'8Příloha_2_ceník_pravid_úklid'!$B$9:$C$30,2,0))</f>
        <v>4</v>
      </c>
      <c r="I22" s="248" t="s">
        <v>9</v>
      </c>
      <c r="J22" s="145">
        <v>15.75</v>
      </c>
      <c r="K22" s="275" t="s">
        <v>51</v>
      </c>
      <c r="L22" s="156" t="s">
        <v>21</v>
      </c>
      <c r="M22" s="19" t="s">
        <v>49</v>
      </c>
      <c r="N22" s="19">
        <f>IF((VLOOKUP(I22,'8Příloha_2_ceník_pravid_úklid'!$B$9:$I$30,8,0))=0,VLOOKUP(I22,'8Příloha_2_ceník_pravid_úklid'!$B$9:$K$30,10,0),VLOOKUP(I22,'8Příloha_2_ceník_pravid_úklid'!$B$9:$I$30,8,0))</f>
        <v>0</v>
      </c>
      <c r="O22" s="20">
        <v>1</v>
      </c>
      <c r="P22" s="20">
        <v>1</v>
      </c>
      <c r="Q22" s="20">
        <v>0</v>
      </c>
      <c r="R22" s="20">
        <v>0</v>
      </c>
      <c r="S22" s="21">
        <f>NETWORKDAYS.INTL(DATE(2018,1,1),DATE(2018,12,31),1,{"2018/1/1";"2018/3/30";"2018/4/2";"2018/5/1";"2018/5/8";"2018/7/5";"2018/7/6";"2018/09/28";"2018/11/17";"2018/12/24";"2018/12/25";"2018/12/26"})</f>
        <v>250</v>
      </c>
      <c r="T22" s="21">
        <f t="shared" si="0"/>
        <v>115</v>
      </c>
      <c r="U22" s="21">
        <f t="shared" si="1"/>
        <v>365</v>
      </c>
      <c r="V22" s="144">
        <f t="shared" si="2"/>
        <v>250</v>
      </c>
      <c r="W22" s="140">
        <f t="shared" si="3"/>
        <v>0</v>
      </c>
      <c r="X22" s="141">
        <f t="shared" si="4"/>
        <v>0</v>
      </c>
      <c r="Y22" s="141">
        <v>0</v>
      </c>
    </row>
    <row r="23" spans="1:25" ht="12.75" customHeight="1" x14ac:dyDescent="0.25">
      <c r="A23" s="235" t="s">
        <v>385</v>
      </c>
      <c r="B23" s="236" t="s">
        <v>54</v>
      </c>
      <c r="C23" s="236"/>
      <c r="D23" s="535">
        <f>VLOOKUP(C23,'Seznam HS - nemaš'!$A$1:$B$96,2,FALSE)</f>
        <v>0</v>
      </c>
      <c r="E23" s="237" t="s">
        <v>418</v>
      </c>
      <c r="F23" s="238" t="s">
        <v>53</v>
      </c>
      <c r="G23" s="238"/>
      <c r="H23" s="284">
        <f>+IF(ISBLANK(I23),0,VLOOKUP(I23,'8Příloha_2_ceník_pravid_úklid'!$B$9:$C$30,2,0))</f>
        <v>6</v>
      </c>
      <c r="I23" s="273" t="s">
        <v>1</v>
      </c>
      <c r="J23" s="241">
        <v>8.65</v>
      </c>
      <c r="K23" s="240" t="s">
        <v>51</v>
      </c>
      <c r="L23" s="242" t="s">
        <v>387</v>
      </c>
      <c r="M23" s="229" t="s">
        <v>49</v>
      </c>
      <c r="N23" s="229" t="s">
        <v>501</v>
      </c>
      <c r="O23" s="230">
        <v>0</v>
      </c>
      <c r="P23" s="230">
        <v>0</v>
      </c>
      <c r="Q23" s="230">
        <v>0</v>
      </c>
      <c r="R23" s="230">
        <v>0</v>
      </c>
      <c r="S23" s="231">
        <f>NETWORKDAYS.INTL(DATE(2018,1,1),DATE(2018,12,31),1,{"2018/1/1";"2018/3/30";"2018/4/2";"2018/5/1";"2018/5/8";"2018/7/5";"2018/7/6";"2018/09/28";"2018/11/17";"2018/12/24";"2018/12/25";"2018/12/26"})</f>
        <v>250</v>
      </c>
      <c r="T23" s="231">
        <f t="shared" si="0"/>
        <v>115</v>
      </c>
      <c r="U23" s="231">
        <f t="shared" si="1"/>
        <v>365</v>
      </c>
      <c r="V23" s="232">
        <f t="shared" si="2"/>
        <v>0</v>
      </c>
      <c r="W23" s="233">
        <f t="shared" si="3"/>
        <v>0</v>
      </c>
      <c r="X23" s="234">
        <f t="shared" si="4"/>
        <v>0</v>
      </c>
      <c r="Y23" s="234">
        <f t="shared" si="4"/>
        <v>0</v>
      </c>
    </row>
    <row r="24" spans="1:25" ht="12.75" customHeight="1" x14ac:dyDescent="0.25">
      <c r="A24" s="235" t="s">
        <v>385</v>
      </c>
      <c r="B24" s="236" t="s">
        <v>54</v>
      </c>
      <c r="C24" s="236"/>
      <c r="D24" s="535">
        <f>VLOOKUP(C24,'Seznam HS - nemaš'!$A$1:$B$96,2,FALSE)</f>
        <v>0</v>
      </c>
      <c r="E24" s="237" t="s">
        <v>419</v>
      </c>
      <c r="F24" s="238" t="s">
        <v>420</v>
      </c>
      <c r="G24" s="238"/>
      <c r="H24" s="284">
        <f>+IF(ISBLANK(I24),0,VLOOKUP(I24,'8Příloha_2_ceník_pravid_úklid'!$B$9:$C$30,2,0))</f>
        <v>6</v>
      </c>
      <c r="I24" s="273" t="s">
        <v>1</v>
      </c>
      <c r="J24" s="241">
        <v>3.82</v>
      </c>
      <c r="K24" s="240" t="s">
        <v>51</v>
      </c>
      <c r="L24" s="242" t="s">
        <v>387</v>
      </c>
      <c r="M24" s="229" t="s">
        <v>49</v>
      </c>
      <c r="N24" s="229" t="s">
        <v>501</v>
      </c>
      <c r="O24" s="230">
        <v>0</v>
      </c>
      <c r="P24" s="230">
        <v>0</v>
      </c>
      <c r="Q24" s="230">
        <v>0</v>
      </c>
      <c r="R24" s="230">
        <v>0</v>
      </c>
      <c r="S24" s="231">
        <f>NETWORKDAYS.INTL(DATE(2018,1,1),DATE(2018,12,31),1,{"2018/1/1";"2018/3/30";"2018/4/2";"2018/5/1";"2018/5/8";"2018/7/5";"2018/7/6";"2018/09/28";"2018/11/17";"2018/12/24";"2018/12/25";"2018/12/26"})</f>
        <v>250</v>
      </c>
      <c r="T24" s="231">
        <f t="shared" si="0"/>
        <v>115</v>
      </c>
      <c r="U24" s="231">
        <f t="shared" si="1"/>
        <v>365</v>
      </c>
      <c r="V24" s="232">
        <f t="shared" si="2"/>
        <v>0</v>
      </c>
      <c r="W24" s="233">
        <f t="shared" si="3"/>
        <v>0</v>
      </c>
      <c r="X24" s="234">
        <f t="shared" si="4"/>
        <v>0</v>
      </c>
      <c r="Y24" s="234">
        <f t="shared" si="4"/>
        <v>0</v>
      </c>
    </row>
    <row r="25" spans="1:25" ht="12.75" customHeight="1" x14ac:dyDescent="0.25">
      <c r="A25" s="235" t="s">
        <v>385</v>
      </c>
      <c r="B25" s="236" t="s">
        <v>54</v>
      </c>
      <c r="C25" s="236"/>
      <c r="D25" s="535">
        <f>VLOOKUP(C25,'Seznam HS - nemaš'!$A$1:$B$96,2,FALSE)</f>
        <v>0</v>
      </c>
      <c r="E25" s="237" t="s">
        <v>421</v>
      </c>
      <c r="F25" s="238" t="s">
        <v>329</v>
      </c>
      <c r="G25" s="238"/>
      <c r="H25" s="284">
        <f>+IF(ISBLANK(I25),0,VLOOKUP(I25,'8Příloha_2_ceník_pravid_úklid'!$B$9:$C$30,2,0))</f>
        <v>4</v>
      </c>
      <c r="I25" s="273" t="s">
        <v>9</v>
      </c>
      <c r="J25" s="241">
        <v>4.25</v>
      </c>
      <c r="K25" s="240" t="s">
        <v>51</v>
      </c>
      <c r="L25" s="242" t="s">
        <v>387</v>
      </c>
      <c r="M25" s="229" t="s">
        <v>49</v>
      </c>
      <c r="N25" s="229" t="s">
        <v>501</v>
      </c>
      <c r="O25" s="230">
        <v>0</v>
      </c>
      <c r="P25" s="230">
        <v>0</v>
      </c>
      <c r="Q25" s="230">
        <v>0</v>
      </c>
      <c r="R25" s="230">
        <v>0</v>
      </c>
      <c r="S25" s="231">
        <f>NETWORKDAYS.INTL(DATE(2018,1,1),DATE(2018,12,31),1,{"2018/1/1";"2018/3/30";"2018/4/2";"2018/5/1";"2018/5/8";"2018/7/5";"2018/7/6";"2018/09/28";"2018/11/17";"2018/12/24";"2018/12/25";"2018/12/26"})</f>
        <v>250</v>
      </c>
      <c r="T25" s="231">
        <f t="shared" si="0"/>
        <v>115</v>
      </c>
      <c r="U25" s="231">
        <f t="shared" si="1"/>
        <v>365</v>
      </c>
      <c r="V25" s="232">
        <f t="shared" si="2"/>
        <v>0</v>
      </c>
      <c r="W25" s="233">
        <f t="shared" si="3"/>
        <v>0</v>
      </c>
      <c r="X25" s="234">
        <f t="shared" si="4"/>
        <v>0</v>
      </c>
      <c r="Y25" s="234">
        <f t="shared" si="4"/>
        <v>0</v>
      </c>
    </row>
    <row r="26" spans="1:25" ht="12.75" customHeight="1" x14ac:dyDescent="0.25">
      <c r="A26" s="138" t="s">
        <v>385</v>
      </c>
      <c r="B26" s="142" t="s">
        <v>54</v>
      </c>
      <c r="C26" s="142" t="s">
        <v>246</v>
      </c>
      <c r="D26" s="139" t="str">
        <f>VLOOKUP(C26,'Seznam HS - nemaš'!$A$1:$B$96,2,FALSE)</f>
        <v>482990</v>
      </c>
      <c r="E26" s="243" t="s">
        <v>422</v>
      </c>
      <c r="F26" s="244" t="s">
        <v>329</v>
      </c>
      <c r="G26" s="244" t="s">
        <v>423</v>
      </c>
      <c r="H26" s="284">
        <f>+IF(ISBLANK(I26),0,VLOOKUP(I26,'8Příloha_2_ceník_pravid_úklid'!$B$9:$C$30,2,0))</f>
        <v>4</v>
      </c>
      <c r="I26" s="143" t="s">
        <v>9</v>
      </c>
      <c r="J26" s="145">
        <v>15</v>
      </c>
      <c r="K26" s="275" t="s">
        <v>51</v>
      </c>
      <c r="L26" s="146" t="s">
        <v>338</v>
      </c>
      <c r="M26" s="19" t="s">
        <v>49</v>
      </c>
      <c r="N26" s="19">
        <f>IF((VLOOKUP(I26,'8Příloha_2_ceník_pravid_úklid'!$B$9:$I$30,8,0))=0,VLOOKUP(I26,'8Příloha_2_ceník_pravid_úklid'!$B$9:$K$30,10,0),VLOOKUP(I26,'8Příloha_2_ceník_pravid_úklid'!$B$9:$I$30,8,0))</f>
        <v>0</v>
      </c>
      <c r="O26" s="20">
        <v>1</v>
      </c>
      <c r="P26" s="20">
        <f>2/5</f>
        <v>0.4</v>
      </c>
      <c r="Q26" s="20">
        <v>0</v>
      </c>
      <c r="R26" s="20">
        <v>0</v>
      </c>
      <c r="S26" s="21">
        <f>NETWORKDAYS.INTL(DATE(2018,1,1),DATE(2018,12,31),1,{"2018/1/1";"2018/3/30";"2018/4/2";"2018/5/1";"2018/5/8";"2018/7/5";"2018/7/6";"2018/09/28";"2018/11/17";"2018/12/24";"2018/12/25";"2018/12/26"})</f>
        <v>250</v>
      </c>
      <c r="T26" s="21">
        <f t="shared" si="0"/>
        <v>115</v>
      </c>
      <c r="U26" s="21">
        <f t="shared" si="1"/>
        <v>365</v>
      </c>
      <c r="V26" s="144">
        <f t="shared" si="2"/>
        <v>100</v>
      </c>
      <c r="W26" s="140">
        <f t="shared" si="3"/>
        <v>0</v>
      </c>
      <c r="X26" s="141">
        <f t="shared" si="4"/>
        <v>0</v>
      </c>
      <c r="Y26" s="141">
        <v>0</v>
      </c>
    </row>
    <row r="27" spans="1:25" ht="12.75" customHeight="1" x14ac:dyDescent="0.25">
      <c r="A27" s="276" t="s">
        <v>385</v>
      </c>
      <c r="B27" s="23" t="s">
        <v>54</v>
      </c>
      <c r="C27" s="23" t="s">
        <v>263</v>
      </c>
      <c r="D27" s="85" t="str">
        <f>VLOOKUP(C27,'Seznam HS - nemaš'!$A$1:$B$96,2,FALSE)</f>
        <v>487270</v>
      </c>
      <c r="E27" s="22" t="s">
        <v>424</v>
      </c>
      <c r="F27" s="154" t="s">
        <v>329</v>
      </c>
      <c r="G27" s="154" t="s">
        <v>425</v>
      </c>
      <c r="H27" s="284">
        <f>+IF(ISBLANK(I27),0,VLOOKUP(I27,'8Příloha_2_ceník_pravid_úklid'!$B$9:$C$30,2,0))</f>
        <v>4</v>
      </c>
      <c r="I27" s="143" t="s">
        <v>9</v>
      </c>
      <c r="J27" s="145">
        <v>13.32</v>
      </c>
      <c r="K27" s="275" t="s">
        <v>51</v>
      </c>
      <c r="L27" s="146" t="s">
        <v>338</v>
      </c>
      <c r="M27" s="19" t="s">
        <v>49</v>
      </c>
      <c r="N27" s="19">
        <f>IF((VLOOKUP(I27,'8Příloha_2_ceník_pravid_úklid'!$B$9:$I$30,8,0))=0,VLOOKUP(I27,'8Příloha_2_ceník_pravid_úklid'!$B$9:$K$30,10,0),VLOOKUP(I27,'8Příloha_2_ceník_pravid_úklid'!$B$9:$I$30,8,0))</f>
        <v>0</v>
      </c>
      <c r="O27" s="20">
        <v>1</v>
      </c>
      <c r="P27" s="20">
        <f>2/5</f>
        <v>0.4</v>
      </c>
      <c r="Q27" s="20">
        <v>0</v>
      </c>
      <c r="R27" s="20">
        <v>0</v>
      </c>
      <c r="S27" s="21">
        <f>NETWORKDAYS.INTL(DATE(2018,1,1),DATE(2018,12,31),1,{"2018/1/1";"2018/3/30";"2018/4/2";"2018/5/1";"2018/5/8";"2018/7/5";"2018/7/6";"2018/09/28";"2018/11/17";"2018/12/24";"2018/12/25";"2018/12/26"})</f>
        <v>250</v>
      </c>
      <c r="T27" s="21">
        <f t="shared" ref="T27" si="5">U27-S27</f>
        <v>115</v>
      </c>
      <c r="U27" s="21">
        <f t="shared" si="1"/>
        <v>365</v>
      </c>
      <c r="V27" s="144">
        <f t="shared" ref="V27" si="6">ROUND(O27*P27*S27+Q27*R27*T27,2)</f>
        <v>100</v>
      </c>
      <c r="W27" s="140">
        <f t="shared" ref="W27" si="7">ROUND(IF(N27="neoceňuje se",+J27*0*V27,J27*N27*V27),2)</f>
        <v>0</v>
      </c>
      <c r="X27" s="141">
        <f t="shared" ref="X27" si="8">ROUND(W27*1.21,2)</f>
        <v>0</v>
      </c>
      <c r="Y27" s="141">
        <v>0</v>
      </c>
    </row>
    <row r="28" spans="1:25" ht="15" x14ac:dyDescent="0.25">
      <c r="A28" s="138" t="s">
        <v>426</v>
      </c>
      <c r="B28" s="142" t="s">
        <v>54</v>
      </c>
      <c r="C28" s="142" t="s">
        <v>238</v>
      </c>
      <c r="D28" s="139" t="str">
        <f>VLOOKUP(C28,'Seznam HS - nemaš'!$A$1:$B$96,2,FALSE)</f>
        <v>479804</v>
      </c>
      <c r="E28" s="243" t="s">
        <v>427</v>
      </c>
      <c r="F28" s="244" t="s">
        <v>428</v>
      </c>
      <c r="G28" s="244" t="s">
        <v>429</v>
      </c>
      <c r="H28" s="284">
        <f>+IF(ISBLANK(I28),0,VLOOKUP(I28,'8Příloha_2_ceník_pravid_úklid'!$B$9:$C$30,2,0))</f>
        <v>2</v>
      </c>
      <c r="I28" s="143" t="s">
        <v>2</v>
      </c>
      <c r="J28" s="145">
        <v>15</v>
      </c>
      <c r="K28" s="275" t="s">
        <v>51</v>
      </c>
      <c r="L28" s="156" t="s">
        <v>21</v>
      </c>
      <c r="M28" s="19" t="s">
        <v>49</v>
      </c>
      <c r="N28" s="19">
        <f>IF((VLOOKUP(I28,'8Příloha_2_ceník_pravid_úklid'!$B$9:$I$30,8,0))=0,VLOOKUP(I28,'8Příloha_2_ceník_pravid_úklid'!$B$9:$K$30,10,0),VLOOKUP(I28,'8Příloha_2_ceník_pravid_úklid'!$B$9:$I$30,8,0))</f>
        <v>0</v>
      </c>
      <c r="O28" s="20">
        <v>1</v>
      </c>
      <c r="P28" s="20">
        <v>1</v>
      </c>
      <c r="Q28" s="20">
        <v>0</v>
      </c>
      <c r="R28" s="20">
        <v>0</v>
      </c>
      <c r="S28" s="21">
        <f>NETWORKDAYS.INTL(DATE(2018,1,1),DATE(2018,12,31),1,{"2018/1/1";"2018/3/30";"2018/4/2";"2018/5/1";"2018/5/8";"2018/7/5";"2018/7/6";"2018/09/28";"2018/11/17";"2018/12/24";"2018/12/25";"2018/12/26"})</f>
        <v>250</v>
      </c>
      <c r="T28" s="21">
        <f t="shared" si="0"/>
        <v>115</v>
      </c>
      <c r="U28" s="21">
        <f t="shared" si="1"/>
        <v>365</v>
      </c>
      <c r="V28" s="144">
        <f t="shared" si="2"/>
        <v>250</v>
      </c>
      <c r="W28" s="140">
        <f>ROUND(IF(N28="neoceňuje se",+J28*0*V28,J28*N28*V28),2)</f>
        <v>0</v>
      </c>
      <c r="X28" s="141">
        <f t="shared" si="4"/>
        <v>0</v>
      </c>
      <c r="Y28" s="141">
        <v>0</v>
      </c>
    </row>
    <row r="29" spans="1:25" ht="15" x14ac:dyDescent="0.25">
      <c r="A29" s="138" t="s">
        <v>426</v>
      </c>
      <c r="B29" s="142" t="s">
        <v>54</v>
      </c>
      <c r="C29" s="142" t="s">
        <v>175</v>
      </c>
      <c r="D29" s="139" t="str">
        <f>VLOOKUP(C29,'Seznam HS - nemaš'!$A$1:$B$96,2,FALSE)</f>
        <v>415400</v>
      </c>
      <c r="E29" s="243" t="s">
        <v>430</v>
      </c>
      <c r="F29" s="244" t="s">
        <v>428</v>
      </c>
      <c r="G29" s="244" t="s">
        <v>431</v>
      </c>
      <c r="H29" s="284">
        <f>+IF(ISBLANK(I29),0,VLOOKUP(I29,'8Příloha_2_ceník_pravid_úklid'!$B$9:$C$30,2,0))</f>
        <v>2</v>
      </c>
      <c r="I29" s="143" t="s">
        <v>2</v>
      </c>
      <c r="J29" s="145">
        <v>18</v>
      </c>
      <c r="K29" s="275" t="s">
        <v>51</v>
      </c>
      <c r="L29" s="156" t="s">
        <v>21</v>
      </c>
      <c r="M29" s="19" t="s">
        <v>49</v>
      </c>
      <c r="N29" s="19">
        <f>IF((VLOOKUP(I29,'8Příloha_2_ceník_pravid_úklid'!$B$9:$I$30,8,0))=0,VLOOKUP(I29,'8Příloha_2_ceník_pravid_úklid'!$B$9:$K$30,10,0),VLOOKUP(I29,'8Příloha_2_ceník_pravid_úklid'!$B$9:$I$30,8,0))</f>
        <v>0</v>
      </c>
      <c r="O29" s="20">
        <v>1</v>
      </c>
      <c r="P29" s="20">
        <v>1</v>
      </c>
      <c r="Q29" s="20">
        <v>0</v>
      </c>
      <c r="R29" s="20">
        <v>0</v>
      </c>
      <c r="S29" s="21">
        <f>NETWORKDAYS.INTL(DATE(2018,1,1),DATE(2018,12,31),1,{"2018/1/1";"2018/3/30";"2018/4/2";"2018/5/1";"2018/5/8";"2018/7/5";"2018/7/6";"2018/09/28";"2018/11/17";"2018/12/24";"2018/12/25";"2018/12/26"})</f>
        <v>250</v>
      </c>
      <c r="T29" s="21">
        <f t="shared" si="0"/>
        <v>115</v>
      </c>
      <c r="U29" s="21">
        <f t="shared" si="1"/>
        <v>365</v>
      </c>
      <c r="V29" s="144">
        <f t="shared" si="2"/>
        <v>250</v>
      </c>
      <c r="W29" s="140">
        <f t="shared" si="3"/>
        <v>0</v>
      </c>
      <c r="X29" s="141">
        <f t="shared" si="4"/>
        <v>0</v>
      </c>
      <c r="Y29" s="141">
        <v>0</v>
      </c>
    </row>
    <row r="30" spans="1:25" ht="12.75" customHeight="1" x14ac:dyDescent="0.25">
      <c r="A30" s="138" t="s">
        <v>432</v>
      </c>
      <c r="B30" s="142" t="s">
        <v>54</v>
      </c>
      <c r="C30" s="142" t="s">
        <v>175</v>
      </c>
      <c r="D30" s="139" t="str">
        <f>VLOOKUP(C30,'Seznam HS - nemaš'!$A$1:$B$96,2,FALSE)</f>
        <v>415400</v>
      </c>
      <c r="E30" s="243" t="s">
        <v>433</v>
      </c>
      <c r="F30" s="244" t="s">
        <v>53</v>
      </c>
      <c r="G30" s="244" t="s">
        <v>434</v>
      </c>
      <c r="H30" s="284">
        <f>+IF(ISBLANK(I30),0,VLOOKUP(I30,'8Příloha_2_ceník_pravid_úklid'!$B$9:$C$30,2,0))</f>
        <v>6</v>
      </c>
      <c r="I30" s="143" t="s">
        <v>1</v>
      </c>
      <c r="J30" s="145">
        <v>4.9000000000000004</v>
      </c>
      <c r="K30" s="275" t="s">
        <v>51</v>
      </c>
      <c r="L30" s="156" t="s">
        <v>435</v>
      </c>
      <c r="M30" s="19" t="s">
        <v>49</v>
      </c>
      <c r="N30" s="19">
        <f>IF((VLOOKUP(I30,'8Příloha_2_ceník_pravid_úklid'!$B$9:$I$30,8,0))=0,VLOOKUP(I30,'8Příloha_2_ceník_pravid_úklid'!$B$9:$K$30,10,0),VLOOKUP(I30,'8Příloha_2_ceník_pravid_úklid'!$B$9:$I$30,8,0))</f>
        <v>0</v>
      </c>
      <c r="O30" s="20">
        <v>0</v>
      </c>
      <c r="P30" s="20">
        <v>0</v>
      </c>
      <c r="Q30" s="20">
        <v>1</v>
      </c>
      <c r="R30" s="20">
        <v>1</v>
      </c>
      <c r="S30" s="21">
        <f>NETWORKDAYS.INTL(DATE(2018,1,1),DATE(2018,12,31),1,{"2018/1/1";"2018/3/30";"2018/4/2";"2018/5/1";"2018/5/8";"2018/7/5";"2018/7/6";"2018/09/28";"2018/11/17";"2018/12/24";"2018/12/25";"2018/12/26"})</f>
        <v>250</v>
      </c>
      <c r="T30" s="21">
        <f t="shared" si="0"/>
        <v>115</v>
      </c>
      <c r="U30" s="21">
        <f t="shared" si="1"/>
        <v>365</v>
      </c>
      <c r="V30" s="144">
        <f t="shared" si="2"/>
        <v>115</v>
      </c>
      <c r="W30" s="140">
        <f t="shared" si="3"/>
        <v>0</v>
      </c>
      <c r="X30" s="141">
        <f t="shared" si="4"/>
        <v>0</v>
      </c>
      <c r="Y30" s="141">
        <v>0</v>
      </c>
    </row>
    <row r="31" spans="1:25" ht="12.75" customHeight="1" x14ac:dyDescent="0.25">
      <c r="A31" s="138" t="s">
        <v>432</v>
      </c>
      <c r="B31" s="142" t="s">
        <v>54</v>
      </c>
      <c r="C31" s="142" t="s">
        <v>175</v>
      </c>
      <c r="D31" s="139" t="str">
        <f>VLOOKUP(C31,'Seznam HS - nemaš'!$A$1:$B$96,2,FALSE)</f>
        <v>415400</v>
      </c>
      <c r="E31" s="243" t="s">
        <v>436</v>
      </c>
      <c r="F31" s="244" t="s">
        <v>437</v>
      </c>
      <c r="G31" s="244" t="s">
        <v>434</v>
      </c>
      <c r="H31" s="284">
        <f>+IF(ISBLANK(I31),0,VLOOKUP(I31,'8Příloha_2_ceník_pravid_úklid'!$B$9:$C$30,2,0))</f>
        <v>7</v>
      </c>
      <c r="I31" s="143" t="s">
        <v>14</v>
      </c>
      <c r="J31" s="145">
        <v>2.13</v>
      </c>
      <c r="K31" s="275" t="s">
        <v>50</v>
      </c>
      <c r="L31" s="156" t="s">
        <v>435</v>
      </c>
      <c r="M31" s="19" t="s">
        <v>49</v>
      </c>
      <c r="N31" s="19">
        <f>IF((VLOOKUP(I31,'8Příloha_2_ceník_pravid_úklid'!$B$9:$I$30,8,0))=0,VLOOKUP(I31,'8Příloha_2_ceník_pravid_úklid'!$B$9:$K$30,10,0),VLOOKUP(I31,'8Příloha_2_ceník_pravid_úklid'!$B$9:$I$30,8,0))</f>
        <v>0</v>
      </c>
      <c r="O31" s="20">
        <v>0</v>
      </c>
      <c r="P31" s="20">
        <v>0</v>
      </c>
      <c r="Q31" s="20">
        <v>1</v>
      </c>
      <c r="R31" s="20">
        <v>1</v>
      </c>
      <c r="S31" s="21">
        <f>NETWORKDAYS.INTL(DATE(2018,1,1),DATE(2018,12,31),1,{"2018/1/1";"2018/3/30";"2018/4/2";"2018/5/1";"2018/5/8";"2018/7/5";"2018/7/6";"2018/09/28";"2018/11/17";"2018/12/24";"2018/12/25";"2018/12/26"})</f>
        <v>250</v>
      </c>
      <c r="T31" s="21">
        <f t="shared" si="0"/>
        <v>115</v>
      </c>
      <c r="U31" s="21">
        <f t="shared" si="1"/>
        <v>365</v>
      </c>
      <c r="V31" s="144">
        <f t="shared" si="2"/>
        <v>115</v>
      </c>
      <c r="W31" s="140">
        <f t="shared" si="3"/>
        <v>0</v>
      </c>
      <c r="X31" s="141">
        <f t="shared" si="4"/>
        <v>0</v>
      </c>
      <c r="Y31" s="141">
        <v>0</v>
      </c>
    </row>
    <row r="32" spans="1:25" ht="12.75" customHeight="1" x14ac:dyDescent="0.25">
      <c r="A32" s="138" t="s">
        <v>432</v>
      </c>
      <c r="B32" s="142" t="s">
        <v>54</v>
      </c>
      <c r="C32" s="142" t="s">
        <v>175</v>
      </c>
      <c r="D32" s="139" t="str">
        <f>VLOOKUP(C32,'Seznam HS - nemaš'!$A$1:$B$96,2,FALSE)</f>
        <v>415400</v>
      </c>
      <c r="E32" s="243" t="s">
        <v>438</v>
      </c>
      <c r="F32" s="244" t="s">
        <v>437</v>
      </c>
      <c r="G32" s="244" t="s">
        <v>434</v>
      </c>
      <c r="H32" s="284">
        <f>+IF(ISBLANK(I32),0,VLOOKUP(I32,'8Příloha_2_ceník_pravid_úklid'!$B$9:$C$30,2,0))</f>
        <v>7</v>
      </c>
      <c r="I32" s="143" t="s">
        <v>14</v>
      </c>
      <c r="J32" s="145">
        <v>0.75</v>
      </c>
      <c r="K32" s="275" t="s">
        <v>50</v>
      </c>
      <c r="L32" s="156" t="s">
        <v>435</v>
      </c>
      <c r="M32" s="19" t="s">
        <v>49</v>
      </c>
      <c r="N32" s="19">
        <f>IF((VLOOKUP(I32,'8Příloha_2_ceník_pravid_úklid'!$B$9:$I$30,8,0))=0,VLOOKUP(I32,'8Příloha_2_ceník_pravid_úklid'!$B$9:$K$30,10,0),VLOOKUP(I32,'8Příloha_2_ceník_pravid_úklid'!$B$9:$I$30,8,0))</f>
        <v>0</v>
      </c>
      <c r="O32" s="20">
        <v>0</v>
      </c>
      <c r="P32" s="20">
        <v>0</v>
      </c>
      <c r="Q32" s="20">
        <v>1</v>
      </c>
      <c r="R32" s="20">
        <v>1</v>
      </c>
      <c r="S32" s="21">
        <f>NETWORKDAYS.INTL(DATE(2018,1,1),DATE(2018,12,31),1,{"2018/1/1";"2018/3/30";"2018/4/2";"2018/5/1";"2018/5/8";"2018/7/5";"2018/7/6";"2018/09/28";"2018/11/17";"2018/12/24";"2018/12/25";"2018/12/26"})</f>
        <v>250</v>
      </c>
      <c r="T32" s="21">
        <f t="shared" si="0"/>
        <v>115</v>
      </c>
      <c r="U32" s="21">
        <f t="shared" si="1"/>
        <v>365</v>
      </c>
      <c r="V32" s="144">
        <f t="shared" si="2"/>
        <v>115</v>
      </c>
      <c r="W32" s="140">
        <f t="shared" si="3"/>
        <v>0</v>
      </c>
      <c r="X32" s="141">
        <f t="shared" si="4"/>
        <v>0</v>
      </c>
      <c r="Y32" s="141">
        <v>0</v>
      </c>
    </row>
    <row r="33" spans="1:25" ht="12.75" customHeight="1" x14ac:dyDescent="0.25">
      <c r="A33" s="276" t="s">
        <v>439</v>
      </c>
      <c r="B33" s="23" t="s">
        <v>54</v>
      </c>
      <c r="C33" s="142" t="s">
        <v>250</v>
      </c>
      <c r="D33" s="139" t="str">
        <f>VLOOKUP(C33,'Seznam HS - nemaš'!$A$1:$B$96,2,FALSE)</f>
        <v>483021</v>
      </c>
      <c r="E33" s="22" t="s">
        <v>440</v>
      </c>
      <c r="F33" s="244" t="s">
        <v>441</v>
      </c>
      <c r="G33" s="244" t="s">
        <v>442</v>
      </c>
      <c r="H33" s="284">
        <f>+IF(ISBLANK(I33),0,VLOOKUP(I33,'8Příloha_2_ceník_pravid_úklid'!$B$9:$C$30,2,0))</f>
        <v>7</v>
      </c>
      <c r="I33" s="143" t="s">
        <v>14</v>
      </c>
      <c r="J33" s="145">
        <v>2.33</v>
      </c>
      <c r="K33" s="22" t="s">
        <v>51</v>
      </c>
      <c r="L33" s="198" t="s">
        <v>332</v>
      </c>
      <c r="M33" s="22" t="s">
        <v>49</v>
      </c>
      <c r="N33" s="19">
        <f>IF((VLOOKUP(I33,'8Příloha_2_ceník_pravid_úklid'!$B$9:$I$30,8,0))=0,VLOOKUP(I33,'8Příloha_2_ceník_pravid_úklid'!$B$9:$K$30,10,0),VLOOKUP(I33,'8Příloha_2_ceník_pravid_úklid'!$B$9:$I$30,8,0))</f>
        <v>0</v>
      </c>
      <c r="O33" s="20">
        <v>1</v>
      </c>
      <c r="P33" s="20">
        <f>1/5</f>
        <v>0.2</v>
      </c>
      <c r="Q33" s="20">
        <v>0</v>
      </c>
      <c r="R33" s="20">
        <v>0</v>
      </c>
      <c r="S33" s="21">
        <f>NETWORKDAYS.INTL(DATE(2018,1,1),DATE(2018,12,31),1,{"2018/1/1";"2018/3/30";"2018/4/2";"2018/5/1";"2018/5/8";"2018/7/5";"2018/7/6";"2018/09/28";"2018/11/17";"2018/12/24";"2018/12/25";"2018/12/26"})</f>
        <v>250</v>
      </c>
      <c r="T33" s="21">
        <f t="shared" si="0"/>
        <v>115</v>
      </c>
      <c r="U33" s="21">
        <f t="shared" si="1"/>
        <v>365</v>
      </c>
      <c r="V33" s="144">
        <f t="shared" si="2"/>
        <v>50</v>
      </c>
      <c r="W33" s="140">
        <f t="shared" si="3"/>
        <v>0</v>
      </c>
      <c r="X33" s="141">
        <f t="shared" si="4"/>
        <v>0</v>
      </c>
      <c r="Y33" s="141">
        <v>0</v>
      </c>
    </row>
    <row r="34" spans="1:25" ht="12.75" customHeight="1" x14ac:dyDescent="0.25">
      <c r="A34" s="276" t="s">
        <v>439</v>
      </c>
      <c r="B34" s="23" t="s">
        <v>54</v>
      </c>
      <c r="C34" s="142" t="s">
        <v>242</v>
      </c>
      <c r="D34" s="139" t="str">
        <f>VLOOKUP(C34,'Seznam HS - nemaš'!$A$1:$B$96,2,FALSE)</f>
        <v>481100</v>
      </c>
      <c r="E34" s="22" t="s">
        <v>443</v>
      </c>
      <c r="F34" s="244" t="s">
        <v>441</v>
      </c>
      <c r="G34" s="244" t="s">
        <v>444</v>
      </c>
      <c r="H34" s="284">
        <f>+IF(ISBLANK(I34),0,VLOOKUP(I34,'8Příloha_2_ceník_pravid_úklid'!$B$9:$C$30,2,0))</f>
        <v>7</v>
      </c>
      <c r="I34" s="143" t="s">
        <v>14</v>
      </c>
      <c r="J34" s="145">
        <v>3.72</v>
      </c>
      <c r="K34" s="22"/>
      <c r="L34" s="198" t="s">
        <v>332</v>
      </c>
      <c r="M34" s="22" t="s">
        <v>49</v>
      </c>
      <c r="N34" s="19">
        <f>IF((VLOOKUP(I34,'8Příloha_2_ceník_pravid_úklid'!$B$9:$I$30,8,0))=0,VLOOKUP(I34,'8Příloha_2_ceník_pravid_úklid'!$B$9:$K$30,10,0),VLOOKUP(I34,'8Příloha_2_ceník_pravid_úklid'!$B$9:$I$30,8,0))</f>
        <v>0</v>
      </c>
      <c r="O34" s="20">
        <v>1</v>
      </c>
      <c r="P34" s="20">
        <f t="shared" ref="P34:P40" si="9">1/5</f>
        <v>0.2</v>
      </c>
      <c r="Q34" s="20">
        <v>0</v>
      </c>
      <c r="R34" s="20">
        <v>0</v>
      </c>
      <c r="S34" s="21">
        <f>NETWORKDAYS.INTL(DATE(2018,1,1),DATE(2018,12,31),1,{"2018/1/1";"2018/3/30";"2018/4/2";"2018/5/1";"2018/5/8";"2018/7/5";"2018/7/6";"2018/09/28";"2018/11/17";"2018/12/24";"2018/12/25";"2018/12/26"})</f>
        <v>250</v>
      </c>
      <c r="T34" s="21">
        <f t="shared" si="0"/>
        <v>115</v>
      </c>
      <c r="U34" s="21">
        <f t="shared" si="1"/>
        <v>365</v>
      </c>
      <c r="V34" s="144">
        <f t="shared" si="2"/>
        <v>50</v>
      </c>
      <c r="W34" s="140">
        <f t="shared" si="3"/>
        <v>0</v>
      </c>
      <c r="X34" s="141">
        <f t="shared" si="4"/>
        <v>0</v>
      </c>
      <c r="Y34" s="141">
        <v>0</v>
      </c>
    </row>
    <row r="35" spans="1:25" ht="15" x14ac:dyDescent="0.25">
      <c r="A35" s="276" t="s">
        <v>439</v>
      </c>
      <c r="B35" s="23" t="s">
        <v>54</v>
      </c>
      <c r="C35" s="142" t="s">
        <v>1680</v>
      </c>
      <c r="D35" s="139" t="str">
        <f>VLOOKUP(C35,'Seznam HS - nemaš'!$A$1:$B$96,2,FALSE)</f>
        <v>481200</v>
      </c>
      <c r="E35" s="22" t="s">
        <v>445</v>
      </c>
      <c r="F35" s="244" t="s">
        <v>441</v>
      </c>
      <c r="G35" s="244" t="s">
        <v>446</v>
      </c>
      <c r="H35" s="284">
        <f>+IF(ISBLANK(I35),0,VLOOKUP(I35,'8Příloha_2_ceník_pravid_úklid'!$B$9:$C$30,2,0))</f>
        <v>7</v>
      </c>
      <c r="I35" s="143" t="s">
        <v>14</v>
      </c>
      <c r="J35" s="145">
        <v>1.7</v>
      </c>
      <c r="K35" s="22" t="s">
        <v>51</v>
      </c>
      <c r="L35" s="198" t="s">
        <v>332</v>
      </c>
      <c r="M35" s="22" t="s">
        <v>49</v>
      </c>
      <c r="N35" s="19">
        <f>IF((VLOOKUP(I35,'8Příloha_2_ceník_pravid_úklid'!$B$9:$I$30,8,0))=0,VLOOKUP(I35,'8Příloha_2_ceník_pravid_úklid'!$B$9:$K$30,10,0),VLOOKUP(I35,'8Příloha_2_ceník_pravid_úklid'!$B$9:$I$30,8,0))</f>
        <v>0</v>
      </c>
      <c r="O35" s="20">
        <v>1</v>
      </c>
      <c r="P35" s="20">
        <f t="shared" si="9"/>
        <v>0.2</v>
      </c>
      <c r="Q35" s="20">
        <v>0</v>
      </c>
      <c r="R35" s="20">
        <v>0</v>
      </c>
      <c r="S35" s="21">
        <f>NETWORKDAYS.INTL(DATE(2018,1,1),DATE(2018,12,31),1,{"2018/1/1";"2018/3/30";"2018/4/2";"2018/5/1";"2018/5/8";"2018/7/5";"2018/7/6";"2018/09/28";"2018/11/17";"2018/12/24";"2018/12/25";"2018/12/26"})</f>
        <v>250</v>
      </c>
      <c r="T35" s="21">
        <f t="shared" si="0"/>
        <v>115</v>
      </c>
      <c r="U35" s="21">
        <f t="shared" si="1"/>
        <v>365</v>
      </c>
      <c r="V35" s="144">
        <f t="shared" si="2"/>
        <v>50</v>
      </c>
      <c r="W35" s="140">
        <f t="shared" si="3"/>
        <v>0</v>
      </c>
      <c r="X35" s="141">
        <f t="shared" si="4"/>
        <v>0</v>
      </c>
      <c r="Y35" s="141">
        <v>0</v>
      </c>
    </row>
    <row r="36" spans="1:25" ht="12.75" customHeight="1" x14ac:dyDescent="0.25">
      <c r="A36" s="276" t="s">
        <v>439</v>
      </c>
      <c r="B36" s="23" t="s">
        <v>54</v>
      </c>
      <c r="C36" s="142" t="s">
        <v>248</v>
      </c>
      <c r="D36" s="139" t="str">
        <f>VLOOKUP(C36,'Seznam HS - nemaš'!$A$1:$B$96,2,FALSE)</f>
        <v>483020</v>
      </c>
      <c r="E36" s="22" t="s">
        <v>447</v>
      </c>
      <c r="F36" s="244" t="s">
        <v>441</v>
      </c>
      <c r="G36" s="244" t="s">
        <v>407</v>
      </c>
      <c r="H36" s="284">
        <f>+IF(ISBLANK(I36),0,VLOOKUP(I36,'8Příloha_2_ceník_pravid_úklid'!$B$9:$C$30,2,0))</f>
        <v>7</v>
      </c>
      <c r="I36" s="143" t="s">
        <v>14</v>
      </c>
      <c r="J36" s="145">
        <v>2.33</v>
      </c>
      <c r="K36" s="22" t="s">
        <v>50</v>
      </c>
      <c r="L36" s="198" t="s">
        <v>332</v>
      </c>
      <c r="M36" s="22" t="s">
        <v>49</v>
      </c>
      <c r="N36" s="19">
        <f>IF((VLOOKUP(I36,'8Příloha_2_ceník_pravid_úklid'!$B$9:$I$30,8,0))=0,VLOOKUP(I36,'8Příloha_2_ceník_pravid_úklid'!$B$9:$K$30,10,0),VLOOKUP(I36,'8Příloha_2_ceník_pravid_úklid'!$B$9:$I$30,8,0))</f>
        <v>0</v>
      </c>
      <c r="O36" s="20">
        <v>1</v>
      </c>
      <c r="P36" s="20">
        <f t="shared" si="9"/>
        <v>0.2</v>
      </c>
      <c r="Q36" s="20">
        <v>0</v>
      </c>
      <c r="R36" s="20">
        <v>0</v>
      </c>
      <c r="S36" s="21">
        <f>NETWORKDAYS.INTL(DATE(2018,1,1),DATE(2018,12,31),1,{"2018/1/1";"2018/3/30";"2018/4/2";"2018/5/1";"2018/5/8";"2018/7/5";"2018/7/6";"2018/09/28";"2018/11/17";"2018/12/24";"2018/12/25";"2018/12/26"})</f>
        <v>250</v>
      </c>
      <c r="T36" s="21">
        <f t="shared" si="0"/>
        <v>115</v>
      </c>
      <c r="U36" s="21">
        <f t="shared" si="1"/>
        <v>365</v>
      </c>
      <c r="V36" s="144">
        <f t="shared" si="2"/>
        <v>50</v>
      </c>
      <c r="W36" s="140">
        <f t="shared" si="3"/>
        <v>0</v>
      </c>
      <c r="X36" s="141">
        <f t="shared" si="4"/>
        <v>0</v>
      </c>
      <c r="Y36" s="141">
        <v>0</v>
      </c>
    </row>
    <row r="37" spans="1:25" ht="15" x14ac:dyDescent="0.25">
      <c r="A37" s="138" t="s">
        <v>439</v>
      </c>
      <c r="B37" s="142" t="s">
        <v>54</v>
      </c>
      <c r="C37" s="142" t="s">
        <v>242</v>
      </c>
      <c r="D37" s="139" t="str">
        <f>VLOOKUP(C37,'Seznam HS - nemaš'!$A$1:$B$96,2,FALSE)</f>
        <v>481100</v>
      </c>
      <c r="E37" s="277" t="s">
        <v>448</v>
      </c>
      <c r="F37" s="244" t="s">
        <v>329</v>
      </c>
      <c r="G37" s="244" t="s">
        <v>449</v>
      </c>
      <c r="H37" s="284">
        <f>+IF(ISBLANK(I37),0,VLOOKUP(I37,'8Příloha_2_ceník_pravid_úklid'!$B$9:$C$30,2,0))</f>
        <v>4</v>
      </c>
      <c r="I37" s="143" t="s">
        <v>9</v>
      </c>
      <c r="J37" s="145">
        <v>10.8</v>
      </c>
      <c r="K37" s="22" t="s">
        <v>51</v>
      </c>
      <c r="L37" s="198" t="s">
        <v>338</v>
      </c>
      <c r="M37" s="22" t="s">
        <v>49</v>
      </c>
      <c r="N37" s="19">
        <f>IF((VLOOKUP(I37,'8Příloha_2_ceník_pravid_úklid'!$B$9:$I$30,8,0))=0,VLOOKUP(I37,'8Příloha_2_ceník_pravid_úklid'!$B$9:$K$30,10,0),VLOOKUP(I37,'8Příloha_2_ceník_pravid_úklid'!$B$9:$I$30,8,0))</f>
        <v>0</v>
      </c>
      <c r="O37" s="20">
        <v>1</v>
      </c>
      <c r="P37" s="20">
        <f>2/5</f>
        <v>0.4</v>
      </c>
      <c r="Q37" s="20">
        <v>0</v>
      </c>
      <c r="R37" s="20">
        <v>0</v>
      </c>
      <c r="S37" s="21">
        <f>NETWORKDAYS.INTL(DATE(2018,1,1),DATE(2018,12,31),1,{"2018/1/1";"2018/3/30";"2018/4/2";"2018/5/1";"2018/5/8";"2018/7/5";"2018/7/6";"2018/09/28";"2018/11/17";"2018/12/24";"2018/12/25";"2018/12/26"})</f>
        <v>250</v>
      </c>
      <c r="T37" s="21">
        <f t="shared" si="0"/>
        <v>115</v>
      </c>
      <c r="U37" s="21">
        <f t="shared" si="1"/>
        <v>365</v>
      </c>
      <c r="V37" s="144">
        <f t="shared" si="2"/>
        <v>100</v>
      </c>
      <c r="W37" s="140">
        <f t="shared" si="3"/>
        <v>0</v>
      </c>
      <c r="X37" s="141">
        <f t="shared" si="4"/>
        <v>0</v>
      </c>
      <c r="Y37" s="141">
        <v>0</v>
      </c>
    </row>
    <row r="38" spans="1:25" ht="15" x14ac:dyDescent="0.25">
      <c r="A38" s="138" t="s">
        <v>439</v>
      </c>
      <c r="B38" s="142" t="s">
        <v>54</v>
      </c>
      <c r="C38" s="142" t="s">
        <v>242</v>
      </c>
      <c r="D38" s="139" t="str">
        <f>VLOOKUP(C38,'Seznam HS - nemaš'!$A$1:$B$96,2,FALSE)</f>
        <v>481100</v>
      </c>
      <c r="E38" s="277" t="s">
        <v>450</v>
      </c>
      <c r="F38" s="244" t="s">
        <v>329</v>
      </c>
      <c r="G38" s="244" t="s">
        <v>451</v>
      </c>
      <c r="H38" s="284">
        <f>+IF(ISBLANK(I38),0,VLOOKUP(I38,'8Příloha_2_ceník_pravid_úklid'!$B$9:$C$30,2,0))</f>
        <v>4</v>
      </c>
      <c r="I38" s="143" t="s">
        <v>9</v>
      </c>
      <c r="J38" s="145">
        <v>7.85</v>
      </c>
      <c r="K38" s="22" t="s">
        <v>51</v>
      </c>
      <c r="L38" s="198" t="s">
        <v>332</v>
      </c>
      <c r="M38" s="22" t="s">
        <v>49</v>
      </c>
      <c r="N38" s="19">
        <f>IF((VLOOKUP(I38,'8Příloha_2_ceník_pravid_úklid'!$B$9:$I$30,8,0))=0,VLOOKUP(I38,'8Příloha_2_ceník_pravid_úklid'!$B$9:$K$30,10,0),VLOOKUP(I38,'8Příloha_2_ceník_pravid_úklid'!$B$9:$I$30,8,0))</f>
        <v>0</v>
      </c>
      <c r="O38" s="20">
        <v>1</v>
      </c>
      <c r="P38" s="20">
        <f t="shared" si="9"/>
        <v>0.2</v>
      </c>
      <c r="Q38" s="20">
        <v>0</v>
      </c>
      <c r="R38" s="20">
        <v>0</v>
      </c>
      <c r="S38" s="21">
        <f>NETWORKDAYS.INTL(DATE(2018,1,1),DATE(2018,12,31),1,{"2018/1/1";"2018/3/30";"2018/4/2";"2018/5/1";"2018/5/8";"2018/7/5";"2018/7/6";"2018/09/28";"2018/11/17";"2018/12/24";"2018/12/25";"2018/12/26"})</f>
        <v>250</v>
      </c>
      <c r="T38" s="21">
        <f t="shared" si="0"/>
        <v>115</v>
      </c>
      <c r="U38" s="21">
        <f t="shared" si="1"/>
        <v>365</v>
      </c>
      <c r="V38" s="144">
        <f t="shared" si="2"/>
        <v>50</v>
      </c>
      <c r="W38" s="140">
        <f t="shared" si="3"/>
        <v>0</v>
      </c>
      <c r="X38" s="141">
        <f t="shared" si="4"/>
        <v>0</v>
      </c>
      <c r="Y38" s="141">
        <v>0</v>
      </c>
    </row>
    <row r="39" spans="1:25" ht="12.75" customHeight="1" x14ac:dyDescent="0.25">
      <c r="A39" s="138" t="s">
        <v>439</v>
      </c>
      <c r="B39" s="142" t="s">
        <v>54</v>
      </c>
      <c r="C39" s="142" t="s">
        <v>1680</v>
      </c>
      <c r="D39" s="139" t="str">
        <f>VLOOKUP(C39,'Seznam HS - nemaš'!$A$1:$B$96,2,FALSE)</f>
        <v>481200</v>
      </c>
      <c r="E39" s="277" t="s">
        <v>452</v>
      </c>
      <c r="F39" s="244" t="s">
        <v>55</v>
      </c>
      <c r="G39" s="244" t="s">
        <v>453</v>
      </c>
      <c r="H39" s="284">
        <f>+IF(ISBLANK(I39),0,VLOOKUP(I39,'8Příloha_2_ceník_pravid_úklid'!$B$9:$C$30,2,0))</f>
        <v>6</v>
      </c>
      <c r="I39" s="143" t="s">
        <v>1</v>
      </c>
      <c r="J39" s="145">
        <v>18.5</v>
      </c>
      <c r="K39" s="22" t="s">
        <v>51</v>
      </c>
      <c r="L39" s="198" t="s">
        <v>332</v>
      </c>
      <c r="M39" s="22" t="s">
        <v>49</v>
      </c>
      <c r="N39" s="19">
        <f>IF((VLOOKUP(I39,'8Příloha_2_ceník_pravid_úklid'!$B$9:$I$30,8,0))=0,VLOOKUP(I39,'8Příloha_2_ceník_pravid_úklid'!$B$9:$K$30,10,0),VLOOKUP(I39,'8Příloha_2_ceník_pravid_úklid'!$B$9:$I$30,8,0))</f>
        <v>0</v>
      </c>
      <c r="O39" s="20">
        <v>1</v>
      </c>
      <c r="P39" s="20">
        <f t="shared" si="9"/>
        <v>0.2</v>
      </c>
      <c r="Q39" s="20">
        <v>0</v>
      </c>
      <c r="R39" s="20">
        <v>0</v>
      </c>
      <c r="S39" s="21">
        <f>NETWORKDAYS.INTL(DATE(2018,1,1),DATE(2018,12,31),1,{"2018/1/1";"2018/3/30";"2018/4/2";"2018/5/1";"2018/5/8";"2018/7/5";"2018/7/6";"2018/09/28";"2018/11/17";"2018/12/24";"2018/12/25";"2018/12/26"})</f>
        <v>250</v>
      </c>
      <c r="T39" s="21">
        <f t="shared" si="0"/>
        <v>115</v>
      </c>
      <c r="U39" s="21">
        <f t="shared" si="1"/>
        <v>365</v>
      </c>
      <c r="V39" s="144">
        <f t="shared" si="2"/>
        <v>50</v>
      </c>
      <c r="W39" s="140">
        <f t="shared" si="3"/>
        <v>0</v>
      </c>
      <c r="X39" s="141">
        <f t="shared" si="4"/>
        <v>0</v>
      </c>
      <c r="Y39" s="141">
        <v>0</v>
      </c>
    </row>
    <row r="40" spans="1:25" ht="15" x14ac:dyDescent="0.25">
      <c r="A40" s="138" t="s">
        <v>439</v>
      </c>
      <c r="B40" s="142" t="s">
        <v>54</v>
      </c>
      <c r="C40" s="142" t="s">
        <v>248</v>
      </c>
      <c r="D40" s="139" t="str">
        <f>VLOOKUP(C40,'Seznam HS - nemaš'!$A$1:$B$96,2,FALSE)</f>
        <v>483020</v>
      </c>
      <c r="E40" s="277" t="s">
        <v>454</v>
      </c>
      <c r="F40" s="244" t="s">
        <v>329</v>
      </c>
      <c r="G40" s="244" t="s">
        <v>455</v>
      </c>
      <c r="H40" s="284">
        <f>+IF(ISBLANK(I40),0,VLOOKUP(I40,'8Příloha_2_ceník_pravid_úklid'!$B$9:$C$30,2,0))</f>
        <v>4</v>
      </c>
      <c r="I40" s="143" t="s">
        <v>9</v>
      </c>
      <c r="J40" s="145">
        <v>20.3</v>
      </c>
      <c r="K40" s="22" t="s">
        <v>51</v>
      </c>
      <c r="L40" s="198" t="s">
        <v>332</v>
      </c>
      <c r="M40" s="22" t="s">
        <v>49</v>
      </c>
      <c r="N40" s="19">
        <f>IF((VLOOKUP(I40,'8Příloha_2_ceník_pravid_úklid'!$B$9:$I$30,8,0))=0,VLOOKUP(I40,'8Příloha_2_ceník_pravid_úklid'!$B$9:$K$30,10,0),VLOOKUP(I40,'8Příloha_2_ceník_pravid_úklid'!$B$9:$I$30,8,0))</f>
        <v>0</v>
      </c>
      <c r="O40" s="20">
        <v>1</v>
      </c>
      <c r="P40" s="20">
        <f t="shared" si="9"/>
        <v>0.2</v>
      </c>
      <c r="Q40" s="20">
        <v>0</v>
      </c>
      <c r="R40" s="20">
        <v>0</v>
      </c>
      <c r="S40" s="21">
        <f>NETWORKDAYS.INTL(DATE(2018,1,1),DATE(2018,12,31),1,{"2018/1/1";"2018/3/30";"2018/4/2";"2018/5/1";"2018/5/8";"2018/7/5";"2018/7/6";"2018/09/28";"2018/11/17";"2018/12/24";"2018/12/25";"2018/12/26"})</f>
        <v>250</v>
      </c>
      <c r="T40" s="21">
        <f t="shared" si="0"/>
        <v>115</v>
      </c>
      <c r="U40" s="21">
        <f t="shared" si="1"/>
        <v>365</v>
      </c>
      <c r="V40" s="144">
        <f t="shared" si="2"/>
        <v>50</v>
      </c>
      <c r="W40" s="140">
        <f t="shared" si="3"/>
        <v>0</v>
      </c>
      <c r="X40" s="141">
        <f t="shared" si="4"/>
        <v>0</v>
      </c>
      <c r="Y40" s="141">
        <v>0</v>
      </c>
    </row>
    <row r="41" spans="1:25" ht="12.75" customHeight="1" x14ac:dyDescent="0.25">
      <c r="A41" s="157" t="s">
        <v>439</v>
      </c>
      <c r="B41" s="158" t="s">
        <v>54</v>
      </c>
      <c r="C41" s="158" t="s">
        <v>242</v>
      </c>
      <c r="D41" s="212" t="str">
        <f>VLOOKUP(C41,'Seznam HS - nemaš'!$A$1:$B$96,2,FALSE)</f>
        <v>481100</v>
      </c>
      <c r="E41" s="278" t="s">
        <v>456</v>
      </c>
      <c r="F41" s="279" t="s">
        <v>329</v>
      </c>
      <c r="G41" s="279" t="s">
        <v>1741</v>
      </c>
      <c r="H41" s="280">
        <f>+IF(ISBLANK(I41),0,VLOOKUP(I41,'8Příloha_2_ceník_pravid_úklid'!$B$9:$C$30,2,0))</f>
        <v>4</v>
      </c>
      <c r="I41" s="162" t="s">
        <v>9</v>
      </c>
      <c r="J41" s="163">
        <v>21.4</v>
      </c>
      <c r="K41" s="159" t="s">
        <v>51</v>
      </c>
      <c r="L41" s="281" t="s">
        <v>637</v>
      </c>
      <c r="M41" s="159" t="s">
        <v>49</v>
      </c>
      <c r="N41" s="165">
        <f>IF((VLOOKUP(I41,'8Příloha_2_ceník_pravid_úklid'!$B$9:$I$30,8,0))=0,VLOOKUP(I41,'8Příloha_2_ceník_pravid_úklid'!$B$9:$K$30,10,0),VLOOKUP(I41,'8Příloha_2_ceník_pravid_úklid'!$B$9:$I$30,8,0))</f>
        <v>0</v>
      </c>
      <c r="O41" s="166">
        <v>1</v>
      </c>
      <c r="P41" s="166">
        <f>2/5</f>
        <v>0.4</v>
      </c>
      <c r="Q41" s="166">
        <v>0</v>
      </c>
      <c r="R41" s="166">
        <v>0</v>
      </c>
      <c r="S41" s="167">
        <f>NETWORKDAYS.INTL(DATE(2018,1,1),DATE(2018,12,31),1,{"2018/1/1";"2018/3/30";"2018/4/2";"2018/5/1";"2018/5/8";"2018/7/5";"2018/7/6";"2018/09/28";"2018/11/17";"2018/12/24";"2018/12/25";"2018/12/26"})</f>
        <v>250</v>
      </c>
      <c r="T41" s="167">
        <f t="shared" si="0"/>
        <v>115</v>
      </c>
      <c r="U41" s="167">
        <f t="shared" si="1"/>
        <v>365</v>
      </c>
      <c r="V41" s="168">
        <f t="shared" si="2"/>
        <v>100</v>
      </c>
      <c r="W41" s="169">
        <f t="shared" si="3"/>
        <v>0</v>
      </c>
      <c r="X41" s="170">
        <f t="shared" si="4"/>
        <v>0</v>
      </c>
      <c r="Y41" s="170">
        <v>0</v>
      </c>
    </row>
    <row r="42" spans="1:25" ht="12.75" customHeight="1" x14ac:dyDescent="0.25">
      <c r="A42" s="171" t="s">
        <v>457</v>
      </c>
      <c r="B42" s="148" t="s">
        <v>328</v>
      </c>
      <c r="C42" s="148" t="s">
        <v>240</v>
      </c>
      <c r="D42" s="139" t="str">
        <f>VLOOKUP(C42,'Seznam HS - nemaš'!$A$1:$B$96,2,FALSE)</f>
        <v>481000</v>
      </c>
      <c r="E42" s="282" t="s">
        <v>344</v>
      </c>
      <c r="F42" s="283" t="s">
        <v>329</v>
      </c>
      <c r="G42" s="283" t="s">
        <v>458</v>
      </c>
      <c r="H42" s="284">
        <f>+IF(ISBLANK(I42),0,VLOOKUP(I42,'8Příloha_2_ceník_pravid_úklid'!$B$9:$C$30,2,0))</f>
        <v>4</v>
      </c>
      <c r="I42" s="149" t="s">
        <v>9</v>
      </c>
      <c r="J42" s="172">
        <v>15</v>
      </c>
      <c r="K42" s="285" t="s">
        <v>51</v>
      </c>
      <c r="L42" s="286" t="s">
        <v>21</v>
      </c>
      <c r="M42" s="24" t="s">
        <v>49</v>
      </c>
      <c r="N42" s="24">
        <f>IF((VLOOKUP(I42,'8Příloha_2_ceník_pravid_úklid'!$B$9:$I$30,8,0))=0,VLOOKUP(I42,'8Příloha_2_ceník_pravid_úklid'!$B$9:$K$30,10,0),VLOOKUP(I42,'8Příloha_2_ceník_pravid_úklid'!$B$9:$I$30,8,0))</f>
        <v>0</v>
      </c>
      <c r="O42" s="25">
        <v>1</v>
      </c>
      <c r="P42" s="25">
        <v>1</v>
      </c>
      <c r="Q42" s="25">
        <v>0</v>
      </c>
      <c r="R42" s="25">
        <v>0</v>
      </c>
      <c r="S42" s="26">
        <f>NETWORKDAYS.INTL(DATE(2018,1,1),DATE(2018,12,31),1,{"2018/1/1";"2018/3/30";"2018/4/2";"2018/5/1";"2018/5/8";"2018/7/5";"2018/7/6";"2018/09/28";"2018/11/17";"2018/12/24";"2018/12/25";"2018/12/26"})</f>
        <v>250</v>
      </c>
      <c r="T42" s="26">
        <f t="shared" si="0"/>
        <v>115</v>
      </c>
      <c r="U42" s="26">
        <f t="shared" si="1"/>
        <v>365</v>
      </c>
      <c r="V42" s="153">
        <f t="shared" si="2"/>
        <v>250</v>
      </c>
      <c r="W42" s="173">
        <f t="shared" si="3"/>
        <v>0</v>
      </c>
      <c r="X42" s="174">
        <f t="shared" si="4"/>
        <v>0</v>
      </c>
      <c r="Y42" s="174">
        <v>0</v>
      </c>
    </row>
    <row r="43" spans="1:25" ht="12.75" customHeight="1" x14ac:dyDescent="0.25">
      <c r="A43" s="138" t="s">
        <v>457</v>
      </c>
      <c r="B43" s="142" t="s">
        <v>328</v>
      </c>
      <c r="C43" s="148" t="s">
        <v>240</v>
      </c>
      <c r="D43" s="139" t="str">
        <f>VLOOKUP(C43,'Seznam HS - nemaš'!$A$1:$B$96,2,FALSE)</f>
        <v>481000</v>
      </c>
      <c r="E43" s="243" t="s">
        <v>345</v>
      </c>
      <c r="F43" s="244" t="s">
        <v>329</v>
      </c>
      <c r="G43" s="244" t="s">
        <v>459</v>
      </c>
      <c r="H43" s="284">
        <f>+IF(ISBLANK(I43),0,VLOOKUP(I43,'8Příloha_2_ceník_pravid_úklid'!$B$9:$C$30,2,0))</f>
        <v>4</v>
      </c>
      <c r="I43" s="143" t="s">
        <v>9</v>
      </c>
      <c r="J43" s="145">
        <v>26.5</v>
      </c>
      <c r="K43" s="275" t="s">
        <v>460</v>
      </c>
      <c r="L43" s="156" t="s">
        <v>21</v>
      </c>
      <c r="M43" s="19" t="s">
        <v>49</v>
      </c>
      <c r="N43" s="19">
        <f>IF((VLOOKUP(I43,'8Příloha_2_ceník_pravid_úklid'!$B$9:$I$30,8,0))=0,VLOOKUP(I43,'8Příloha_2_ceník_pravid_úklid'!$B$9:$K$30,10,0),VLOOKUP(I43,'8Příloha_2_ceník_pravid_úklid'!$B$9:$I$30,8,0))</f>
        <v>0</v>
      </c>
      <c r="O43" s="20">
        <v>1</v>
      </c>
      <c r="P43" s="20">
        <v>1</v>
      </c>
      <c r="Q43" s="20">
        <v>0</v>
      </c>
      <c r="R43" s="20">
        <v>0</v>
      </c>
      <c r="S43" s="21">
        <f>NETWORKDAYS.INTL(DATE(2018,1,1),DATE(2018,12,31),1,{"2018/1/1";"2018/3/30";"2018/4/2";"2018/5/1";"2018/5/8";"2018/7/5";"2018/7/6";"2018/09/28";"2018/11/17";"2018/12/24";"2018/12/25";"2018/12/26"})</f>
        <v>250</v>
      </c>
      <c r="T43" s="21">
        <f t="shared" si="0"/>
        <v>115</v>
      </c>
      <c r="U43" s="21">
        <f t="shared" si="1"/>
        <v>365</v>
      </c>
      <c r="V43" s="144">
        <f t="shared" si="2"/>
        <v>250</v>
      </c>
      <c r="W43" s="140">
        <f t="shared" si="3"/>
        <v>0</v>
      </c>
      <c r="X43" s="141">
        <f t="shared" si="4"/>
        <v>0</v>
      </c>
      <c r="Y43" s="141">
        <v>0</v>
      </c>
    </row>
    <row r="44" spans="1:25" ht="12.75" customHeight="1" x14ac:dyDescent="0.25">
      <c r="A44" s="138" t="s">
        <v>457</v>
      </c>
      <c r="B44" s="142" t="s">
        <v>328</v>
      </c>
      <c r="C44" s="142" t="s">
        <v>242</v>
      </c>
      <c r="D44" s="139" t="str">
        <f>VLOOKUP(C44,'Seznam HS - nemaš'!$A$1:$B$96,2,FALSE)</f>
        <v>481100</v>
      </c>
      <c r="E44" s="243" t="s">
        <v>347</v>
      </c>
      <c r="F44" s="244" t="s">
        <v>329</v>
      </c>
      <c r="G44" s="244" t="s">
        <v>461</v>
      </c>
      <c r="H44" s="284">
        <f>+IF(ISBLANK(I44),0,VLOOKUP(I44,'8Příloha_2_ceník_pravid_úklid'!$B$9:$C$30,2,0))</f>
        <v>4</v>
      </c>
      <c r="I44" s="143" t="s">
        <v>9</v>
      </c>
      <c r="J44" s="145">
        <v>11.65</v>
      </c>
      <c r="K44" s="275" t="s">
        <v>51</v>
      </c>
      <c r="L44" s="146" t="s">
        <v>338</v>
      </c>
      <c r="M44" s="19" t="s">
        <v>49</v>
      </c>
      <c r="N44" s="19">
        <f>IF((VLOOKUP(I44,'8Příloha_2_ceník_pravid_úklid'!$B$9:$I$30,8,0))=0,VLOOKUP(I44,'8Příloha_2_ceník_pravid_úklid'!$B$9:$K$30,10,0),VLOOKUP(I44,'8Příloha_2_ceník_pravid_úklid'!$B$9:$I$30,8,0))</f>
        <v>0</v>
      </c>
      <c r="O44" s="20">
        <v>1</v>
      </c>
      <c r="P44" s="20">
        <f>2/5</f>
        <v>0.4</v>
      </c>
      <c r="Q44" s="20">
        <v>0</v>
      </c>
      <c r="R44" s="20">
        <v>0</v>
      </c>
      <c r="S44" s="21">
        <f>NETWORKDAYS.INTL(DATE(2018,1,1),DATE(2018,12,31),1,{"2018/1/1";"2018/3/30";"2018/4/2";"2018/5/1";"2018/5/8";"2018/7/5";"2018/7/6";"2018/09/28";"2018/11/17";"2018/12/24";"2018/12/25";"2018/12/26"})</f>
        <v>250</v>
      </c>
      <c r="T44" s="21">
        <f t="shared" si="0"/>
        <v>115</v>
      </c>
      <c r="U44" s="21">
        <f t="shared" si="1"/>
        <v>365</v>
      </c>
      <c r="V44" s="144">
        <f t="shared" si="2"/>
        <v>100</v>
      </c>
      <c r="W44" s="140">
        <f t="shared" si="3"/>
        <v>0</v>
      </c>
      <c r="X44" s="141">
        <f t="shared" si="4"/>
        <v>0</v>
      </c>
      <c r="Y44" s="141">
        <v>0</v>
      </c>
    </row>
    <row r="45" spans="1:25" ht="12.75" customHeight="1" x14ac:dyDescent="0.25">
      <c r="A45" s="138" t="s">
        <v>457</v>
      </c>
      <c r="B45" s="142" t="s">
        <v>328</v>
      </c>
      <c r="C45" s="148" t="s">
        <v>240</v>
      </c>
      <c r="D45" s="139" t="str">
        <f>VLOOKUP(C45,'Seznam HS - nemaš'!$A$1:$B$96,2,FALSE)</f>
        <v>481000</v>
      </c>
      <c r="E45" s="243" t="s">
        <v>349</v>
      </c>
      <c r="F45" s="244" t="s">
        <v>53</v>
      </c>
      <c r="G45" s="244"/>
      <c r="H45" s="284">
        <f>+IF(ISBLANK(I45),0,VLOOKUP(I45,'8Příloha_2_ceník_pravid_úklid'!$B$9:$C$30,2,0))</f>
        <v>6</v>
      </c>
      <c r="I45" s="143" t="s">
        <v>1</v>
      </c>
      <c r="J45" s="145">
        <v>17.48</v>
      </c>
      <c r="K45" s="275" t="s">
        <v>51</v>
      </c>
      <c r="L45" s="156" t="s">
        <v>21</v>
      </c>
      <c r="M45" s="19" t="s">
        <v>49</v>
      </c>
      <c r="N45" s="19">
        <f>IF((VLOOKUP(I45,'8Příloha_2_ceník_pravid_úklid'!$B$9:$I$30,8,0))=0,VLOOKUP(I45,'8Příloha_2_ceník_pravid_úklid'!$B$9:$K$30,10,0),VLOOKUP(I45,'8Příloha_2_ceník_pravid_úklid'!$B$9:$I$30,8,0))</f>
        <v>0</v>
      </c>
      <c r="O45" s="20">
        <v>1</v>
      </c>
      <c r="P45" s="20">
        <v>1</v>
      </c>
      <c r="Q45" s="20">
        <v>0</v>
      </c>
      <c r="R45" s="20">
        <v>0</v>
      </c>
      <c r="S45" s="21">
        <f>NETWORKDAYS.INTL(DATE(2018,1,1),DATE(2018,12,31),1,{"2018/1/1";"2018/3/30";"2018/4/2";"2018/5/1";"2018/5/8";"2018/7/5";"2018/7/6";"2018/09/28";"2018/11/17";"2018/12/24";"2018/12/25";"2018/12/26"})</f>
        <v>250</v>
      </c>
      <c r="T45" s="21">
        <f t="shared" si="0"/>
        <v>115</v>
      </c>
      <c r="U45" s="21">
        <f t="shared" si="1"/>
        <v>365</v>
      </c>
      <c r="V45" s="144">
        <f t="shared" si="2"/>
        <v>250</v>
      </c>
      <c r="W45" s="140">
        <f t="shared" si="3"/>
        <v>0</v>
      </c>
      <c r="X45" s="141">
        <f t="shared" si="4"/>
        <v>0</v>
      </c>
      <c r="Y45" s="141">
        <v>0</v>
      </c>
    </row>
    <row r="46" spans="1:25" ht="12.75" customHeight="1" x14ac:dyDescent="0.25">
      <c r="A46" s="138" t="s">
        <v>457</v>
      </c>
      <c r="B46" s="142" t="s">
        <v>328</v>
      </c>
      <c r="C46" s="142" t="s">
        <v>269</v>
      </c>
      <c r="D46" s="139" t="str">
        <f>VLOOKUP(C46,'Seznam HS - nemaš'!$A$1:$B$96,2,FALSE)</f>
        <v>487610</v>
      </c>
      <c r="E46" s="243" t="s">
        <v>352</v>
      </c>
      <c r="F46" s="244" t="s">
        <v>329</v>
      </c>
      <c r="G46" s="244" t="s">
        <v>462</v>
      </c>
      <c r="H46" s="284">
        <f>+IF(ISBLANK(I46),0,VLOOKUP(I46,'8Příloha_2_ceník_pravid_úklid'!$B$9:$C$30,2,0))</f>
        <v>4</v>
      </c>
      <c r="I46" s="143" t="s">
        <v>9</v>
      </c>
      <c r="J46" s="145">
        <v>29.67</v>
      </c>
      <c r="K46" s="275" t="s">
        <v>51</v>
      </c>
      <c r="L46" s="146" t="s">
        <v>338</v>
      </c>
      <c r="M46" s="19" t="s">
        <v>49</v>
      </c>
      <c r="N46" s="19">
        <f>IF((VLOOKUP(I46,'8Příloha_2_ceník_pravid_úklid'!$B$9:$I$30,8,0))=0,VLOOKUP(I46,'8Příloha_2_ceník_pravid_úklid'!$B$9:$K$30,10,0),VLOOKUP(I46,'8Příloha_2_ceník_pravid_úklid'!$B$9:$I$30,8,0))</f>
        <v>0</v>
      </c>
      <c r="O46" s="20">
        <v>1</v>
      </c>
      <c r="P46" s="20">
        <f>2/5</f>
        <v>0.4</v>
      </c>
      <c r="Q46" s="20">
        <v>0</v>
      </c>
      <c r="R46" s="20">
        <v>0</v>
      </c>
      <c r="S46" s="21">
        <f>NETWORKDAYS.INTL(DATE(2018,1,1),DATE(2018,12,31),1,{"2018/1/1";"2018/3/30";"2018/4/2";"2018/5/1";"2018/5/8";"2018/7/5";"2018/7/6";"2018/09/28";"2018/11/17";"2018/12/24";"2018/12/25";"2018/12/26"})</f>
        <v>250</v>
      </c>
      <c r="T46" s="21">
        <f t="shared" si="0"/>
        <v>115</v>
      </c>
      <c r="U46" s="21">
        <f t="shared" si="1"/>
        <v>365</v>
      </c>
      <c r="V46" s="144">
        <f t="shared" si="2"/>
        <v>100</v>
      </c>
      <c r="W46" s="140">
        <f t="shared" si="3"/>
        <v>0</v>
      </c>
      <c r="X46" s="141">
        <f t="shared" si="4"/>
        <v>0</v>
      </c>
      <c r="Y46" s="141">
        <v>0</v>
      </c>
    </row>
    <row r="47" spans="1:25" ht="12.75" customHeight="1" x14ac:dyDescent="0.25">
      <c r="A47" s="138" t="s">
        <v>457</v>
      </c>
      <c r="B47" s="142" t="s">
        <v>328</v>
      </c>
      <c r="C47" s="142" t="s">
        <v>1686</v>
      </c>
      <c r="D47" s="139" t="str">
        <f>VLOOKUP(C47,'Seznam HS - nemaš'!$A$1:$B$96,2,FALSE)</f>
        <v>487410</v>
      </c>
      <c r="E47" s="243" t="s">
        <v>360</v>
      </c>
      <c r="F47" s="244" t="s">
        <v>463</v>
      </c>
      <c r="G47" s="244" t="s">
        <v>462</v>
      </c>
      <c r="H47" s="284">
        <f>+IF(ISBLANK(I47),0,VLOOKUP(I47,'8Příloha_2_ceník_pravid_úklid'!$B$9:$C$30,2,0))</f>
        <v>4</v>
      </c>
      <c r="I47" s="143" t="s">
        <v>9</v>
      </c>
      <c r="J47" s="145">
        <v>10</v>
      </c>
      <c r="K47" s="275" t="s">
        <v>50</v>
      </c>
      <c r="L47" s="198" t="s">
        <v>332</v>
      </c>
      <c r="M47" s="19" t="s">
        <v>49</v>
      </c>
      <c r="N47" s="19">
        <f>IF((VLOOKUP(I47,'8Příloha_2_ceník_pravid_úklid'!$B$9:$I$30,8,0))=0,VLOOKUP(I47,'8Příloha_2_ceník_pravid_úklid'!$B$9:$K$30,10,0),VLOOKUP(I47,'8Příloha_2_ceník_pravid_úklid'!$B$9:$I$30,8,0))</f>
        <v>0</v>
      </c>
      <c r="O47" s="20">
        <v>1</v>
      </c>
      <c r="P47" s="20">
        <f>1/5</f>
        <v>0.2</v>
      </c>
      <c r="Q47" s="20">
        <v>0</v>
      </c>
      <c r="R47" s="20">
        <v>0</v>
      </c>
      <c r="S47" s="21">
        <f>NETWORKDAYS.INTL(DATE(2018,1,1),DATE(2018,12,31),1,{"2018/1/1";"2018/3/30";"2018/4/2";"2018/5/1";"2018/5/8";"2018/7/5";"2018/7/6";"2018/09/28";"2018/11/17";"2018/12/24";"2018/12/25";"2018/12/26"})</f>
        <v>250</v>
      </c>
      <c r="T47" s="21">
        <f t="shared" si="0"/>
        <v>115</v>
      </c>
      <c r="U47" s="21">
        <f t="shared" si="1"/>
        <v>365</v>
      </c>
      <c r="V47" s="144">
        <f t="shared" si="2"/>
        <v>50</v>
      </c>
      <c r="W47" s="140">
        <f t="shared" si="3"/>
        <v>0</v>
      </c>
      <c r="X47" s="141">
        <f t="shared" si="4"/>
        <v>0</v>
      </c>
      <c r="Y47" s="141">
        <v>0</v>
      </c>
    </row>
    <row r="48" spans="1:25" ht="12.75" customHeight="1" x14ac:dyDescent="0.25">
      <c r="A48" s="138" t="s">
        <v>457</v>
      </c>
      <c r="B48" s="142" t="s">
        <v>328</v>
      </c>
      <c r="C48" s="142" t="s">
        <v>258</v>
      </c>
      <c r="D48" s="139" t="str">
        <f>VLOOKUP(C48,'Seznam HS - nemaš'!$A$1:$B$96,2,FALSE)</f>
        <v>486020</v>
      </c>
      <c r="E48" s="243" t="s">
        <v>362</v>
      </c>
      <c r="F48" s="244" t="s">
        <v>329</v>
      </c>
      <c r="G48" s="244" t="s">
        <v>403</v>
      </c>
      <c r="H48" s="284">
        <f>+IF(ISBLANK(I48),0,VLOOKUP(I48,'8Příloha_2_ceník_pravid_úklid'!$B$9:$C$30,2,0))</f>
        <v>4</v>
      </c>
      <c r="I48" s="143" t="s">
        <v>9</v>
      </c>
      <c r="J48" s="145">
        <v>18.11</v>
      </c>
      <c r="K48" s="275" t="s">
        <v>52</v>
      </c>
      <c r="L48" s="146" t="s">
        <v>338</v>
      </c>
      <c r="M48" s="19" t="s">
        <v>49</v>
      </c>
      <c r="N48" s="19">
        <f>IF((VLOOKUP(I48,'8Příloha_2_ceník_pravid_úklid'!$B$9:$I$30,8,0))=0,VLOOKUP(I48,'8Příloha_2_ceník_pravid_úklid'!$B$9:$K$30,10,0),VLOOKUP(I48,'8Příloha_2_ceník_pravid_úklid'!$B$9:$I$30,8,0))</f>
        <v>0</v>
      </c>
      <c r="O48" s="20">
        <v>1</v>
      </c>
      <c r="P48" s="20">
        <f>2/5</f>
        <v>0.4</v>
      </c>
      <c r="Q48" s="20">
        <v>0</v>
      </c>
      <c r="R48" s="20">
        <v>0</v>
      </c>
      <c r="S48" s="21">
        <f>NETWORKDAYS.INTL(DATE(2018,1,1),DATE(2018,12,31),1,{"2018/1/1";"2018/3/30";"2018/4/2";"2018/5/1";"2018/5/8";"2018/7/5";"2018/7/6";"2018/09/28";"2018/11/17";"2018/12/24";"2018/12/25";"2018/12/26"})</f>
        <v>250</v>
      </c>
      <c r="T48" s="21">
        <f t="shared" si="0"/>
        <v>115</v>
      </c>
      <c r="U48" s="21">
        <f t="shared" si="1"/>
        <v>365</v>
      </c>
      <c r="V48" s="144">
        <f t="shared" si="2"/>
        <v>100</v>
      </c>
      <c r="W48" s="140">
        <f t="shared" si="3"/>
        <v>0</v>
      </c>
      <c r="X48" s="141">
        <f t="shared" si="4"/>
        <v>0</v>
      </c>
      <c r="Y48" s="141">
        <v>0</v>
      </c>
    </row>
    <row r="49" spans="1:25" ht="12.75" customHeight="1" x14ac:dyDescent="0.25">
      <c r="A49" s="138" t="s">
        <v>457</v>
      </c>
      <c r="B49" s="142" t="s">
        <v>328</v>
      </c>
      <c r="C49" s="142" t="s">
        <v>256</v>
      </c>
      <c r="D49" s="139" t="str">
        <f>VLOOKUP(C49,'Seznam HS - nemaš'!$A$1:$B$96,2,FALSE)</f>
        <v>486010</v>
      </c>
      <c r="E49" s="243" t="s">
        <v>364</v>
      </c>
      <c r="F49" s="244" t="s">
        <v>329</v>
      </c>
      <c r="G49" s="244" t="s">
        <v>1750</v>
      </c>
      <c r="H49" s="284">
        <f>+IF(ISBLANK(I49),0,VLOOKUP(I49,'8Příloha_2_ceník_pravid_úklid'!$B$9:$C$30,2,0))</f>
        <v>4</v>
      </c>
      <c r="I49" s="143" t="s">
        <v>9</v>
      </c>
      <c r="J49" s="145">
        <v>11.03</v>
      </c>
      <c r="K49" s="275" t="s">
        <v>51</v>
      </c>
      <c r="L49" s="146" t="s">
        <v>338</v>
      </c>
      <c r="M49" s="19" t="s">
        <v>49</v>
      </c>
      <c r="N49" s="19">
        <f>IF((VLOOKUP(I49,'8Příloha_2_ceník_pravid_úklid'!$B$9:$I$30,8,0))=0,VLOOKUP(I49,'8Příloha_2_ceník_pravid_úklid'!$B$9:$K$30,10,0),VLOOKUP(I49,'8Příloha_2_ceník_pravid_úklid'!$B$9:$I$30,8,0))</f>
        <v>0</v>
      </c>
      <c r="O49" s="20">
        <v>1</v>
      </c>
      <c r="P49" s="20">
        <f>2/5</f>
        <v>0.4</v>
      </c>
      <c r="Q49" s="20">
        <v>0</v>
      </c>
      <c r="R49" s="20">
        <v>0</v>
      </c>
      <c r="S49" s="21">
        <f>NETWORKDAYS.INTL(DATE(2018,1,1),DATE(2018,12,31),1,{"2018/1/1";"2018/3/30";"2018/4/2";"2018/5/1";"2018/5/8";"2018/7/5";"2018/7/6";"2018/09/28";"2018/11/17";"2018/12/24";"2018/12/25";"2018/12/26"})</f>
        <v>250</v>
      </c>
      <c r="T49" s="21">
        <f t="shared" si="0"/>
        <v>115</v>
      </c>
      <c r="U49" s="21">
        <f t="shared" si="1"/>
        <v>365</v>
      </c>
      <c r="V49" s="144">
        <f t="shared" si="2"/>
        <v>100</v>
      </c>
      <c r="W49" s="140">
        <f t="shared" si="3"/>
        <v>0</v>
      </c>
      <c r="X49" s="141">
        <f t="shared" si="4"/>
        <v>0</v>
      </c>
      <c r="Y49" s="141">
        <v>0</v>
      </c>
    </row>
    <row r="50" spans="1:25" ht="12.75" customHeight="1" x14ac:dyDescent="0.25">
      <c r="A50" s="138" t="s">
        <v>457</v>
      </c>
      <c r="B50" s="142" t="s">
        <v>328</v>
      </c>
      <c r="C50" s="142" t="s">
        <v>256</v>
      </c>
      <c r="D50" s="139" t="str">
        <f>VLOOKUP(C50,'Seznam HS - nemaš'!$A$1:$B$96,2,FALSE)</f>
        <v>486010</v>
      </c>
      <c r="E50" s="243" t="s">
        <v>366</v>
      </c>
      <c r="F50" s="244" t="s">
        <v>329</v>
      </c>
      <c r="G50" s="244" t="s">
        <v>403</v>
      </c>
      <c r="H50" s="284">
        <f>+IF(ISBLANK(I50),0,VLOOKUP(I50,'8Příloha_2_ceník_pravid_úklid'!$B$9:$C$30,2,0))</f>
        <v>4</v>
      </c>
      <c r="I50" s="143" t="s">
        <v>9</v>
      </c>
      <c r="J50" s="145">
        <v>12.08</v>
      </c>
      <c r="K50" s="275" t="s">
        <v>51</v>
      </c>
      <c r="L50" s="146" t="s">
        <v>338</v>
      </c>
      <c r="M50" s="19" t="s">
        <v>49</v>
      </c>
      <c r="N50" s="19">
        <f>IF((VLOOKUP(I50,'8Příloha_2_ceník_pravid_úklid'!$B$9:$I$30,8,0))=0,VLOOKUP(I50,'8Příloha_2_ceník_pravid_úklid'!$B$9:$K$30,10,0),VLOOKUP(I50,'8Příloha_2_ceník_pravid_úklid'!$B$9:$I$30,8,0))</f>
        <v>0</v>
      </c>
      <c r="O50" s="20">
        <v>1</v>
      </c>
      <c r="P50" s="20">
        <f>2/5</f>
        <v>0.4</v>
      </c>
      <c r="Q50" s="20">
        <v>0</v>
      </c>
      <c r="R50" s="20">
        <v>0</v>
      </c>
      <c r="S50" s="21">
        <f>NETWORKDAYS.INTL(DATE(2018,1,1),DATE(2018,12,31),1,{"2018/1/1";"2018/3/30";"2018/4/2";"2018/5/1";"2018/5/8";"2018/7/5";"2018/7/6";"2018/09/28";"2018/11/17";"2018/12/24";"2018/12/25";"2018/12/26"})</f>
        <v>250</v>
      </c>
      <c r="T50" s="21">
        <f t="shared" si="0"/>
        <v>115</v>
      </c>
      <c r="U50" s="21">
        <f t="shared" si="1"/>
        <v>365</v>
      </c>
      <c r="V50" s="144">
        <f t="shared" si="2"/>
        <v>100</v>
      </c>
      <c r="W50" s="140">
        <f t="shared" si="3"/>
        <v>0</v>
      </c>
      <c r="X50" s="141">
        <f t="shared" si="4"/>
        <v>0</v>
      </c>
      <c r="Y50" s="141">
        <v>0</v>
      </c>
    </row>
    <row r="51" spans="1:25" ht="12.75" customHeight="1" x14ac:dyDescent="0.25">
      <c r="A51" s="138" t="s">
        <v>457</v>
      </c>
      <c r="B51" s="142" t="s">
        <v>328</v>
      </c>
      <c r="C51" s="148" t="s">
        <v>240</v>
      </c>
      <c r="D51" s="139" t="str">
        <f>VLOOKUP(C51,'Seznam HS - nemaš'!$A$1:$B$96,2,FALSE)</f>
        <v>481000</v>
      </c>
      <c r="E51" s="243" t="s">
        <v>330</v>
      </c>
      <c r="F51" s="244" t="s">
        <v>336</v>
      </c>
      <c r="G51" s="244"/>
      <c r="H51" s="284">
        <f>+IF(ISBLANK(I51),0,VLOOKUP(I51,'8Příloha_2_ceník_pravid_úklid'!$B$9:$C$30,2,0))</f>
        <v>8</v>
      </c>
      <c r="I51" s="143" t="s">
        <v>11</v>
      </c>
      <c r="J51" s="145">
        <v>20.16</v>
      </c>
      <c r="K51" s="275" t="s">
        <v>337</v>
      </c>
      <c r="L51" s="146" t="s">
        <v>338</v>
      </c>
      <c r="M51" s="19" t="s">
        <v>49</v>
      </c>
      <c r="N51" s="19">
        <f>IF((VLOOKUP(I51,'8Příloha_2_ceník_pravid_úklid'!$B$9:$I$30,8,0))=0,VLOOKUP(I51,'8Příloha_2_ceník_pravid_úklid'!$B$9:$K$30,10,0),VLOOKUP(I51,'8Příloha_2_ceník_pravid_úklid'!$B$9:$I$30,8,0))</f>
        <v>0</v>
      </c>
      <c r="O51" s="20">
        <v>1</v>
      </c>
      <c r="P51" s="20">
        <f>2/5</f>
        <v>0.4</v>
      </c>
      <c r="Q51" s="20">
        <v>0</v>
      </c>
      <c r="R51" s="20">
        <v>0</v>
      </c>
      <c r="S51" s="21">
        <f>NETWORKDAYS.INTL(DATE(2018,1,1),DATE(2018,12,31),1,{"2018/1/1";"2018/3/30";"2018/4/2";"2018/5/1";"2018/5/8";"2018/7/5";"2018/7/6";"2018/09/28";"2018/11/17";"2018/12/24";"2018/12/25";"2018/12/26"})</f>
        <v>250</v>
      </c>
      <c r="T51" s="21">
        <f t="shared" si="0"/>
        <v>115</v>
      </c>
      <c r="U51" s="21">
        <f t="shared" si="1"/>
        <v>365</v>
      </c>
      <c r="V51" s="144">
        <f t="shared" si="2"/>
        <v>100</v>
      </c>
      <c r="W51" s="140">
        <f t="shared" si="3"/>
        <v>0</v>
      </c>
      <c r="X51" s="141">
        <f t="shared" si="4"/>
        <v>0</v>
      </c>
      <c r="Y51" s="141">
        <v>0</v>
      </c>
    </row>
    <row r="52" spans="1:25" ht="12.75" customHeight="1" x14ac:dyDescent="0.25">
      <c r="A52" s="157" t="s">
        <v>457</v>
      </c>
      <c r="B52" s="158" t="s">
        <v>328</v>
      </c>
      <c r="C52" s="158" t="s">
        <v>240</v>
      </c>
      <c r="D52" s="212" t="str">
        <f>VLOOKUP(C52,'Seznam HS - nemaš'!$A$1:$B$96,2,FALSE)</f>
        <v>481000</v>
      </c>
      <c r="E52" s="287" t="s">
        <v>464</v>
      </c>
      <c r="F52" s="279" t="s">
        <v>437</v>
      </c>
      <c r="G52" s="279"/>
      <c r="H52" s="280">
        <f>+IF(ISBLANK(I52),0,VLOOKUP(I52,'8Příloha_2_ceník_pravid_úklid'!$B$9:$C$30,2,0))</f>
        <v>7</v>
      </c>
      <c r="I52" s="162" t="s">
        <v>14</v>
      </c>
      <c r="J52" s="163">
        <v>2.2799999999999998</v>
      </c>
      <c r="K52" s="288" t="s">
        <v>50</v>
      </c>
      <c r="L52" s="164" t="s">
        <v>21</v>
      </c>
      <c r="M52" s="165" t="s">
        <v>49</v>
      </c>
      <c r="N52" s="165">
        <f>IF((VLOOKUP(I52,'8Příloha_2_ceník_pravid_úklid'!$B$9:$I$30,8,0))=0,VLOOKUP(I52,'8Příloha_2_ceník_pravid_úklid'!$B$9:$K$30,10,0),VLOOKUP(I52,'8Příloha_2_ceník_pravid_úklid'!$B$9:$I$30,8,0))</f>
        <v>0</v>
      </c>
      <c r="O52" s="166">
        <v>1</v>
      </c>
      <c r="P52" s="166">
        <v>1</v>
      </c>
      <c r="Q52" s="166">
        <v>0</v>
      </c>
      <c r="R52" s="166">
        <v>0</v>
      </c>
      <c r="S52" s="167">
        <f>NETWORKDAYS.INTL(DATE(2018,1,1),DATE(2018,12,31),1,{"2018/1/1";"2018/3/30";"2018/4/2";"2018/5/1";"2018/5/8";"2018/7/5";"2018/7/6";"2018/09/28";"2018/11/17";"2018/12/24";"2018/12/25";"2018/12/26"})</f>
        <v>250</v>
      </c>
      <c r="T52" s="167">
        <f t="shared" si="0"/>
        <v>115</v>
      </c>
      <c r="U52" s="167">
        <f t="shared" si="1"/>
        <v>365</v>
      </c>
      <c r="V52" s="168">
        <f t="shared" si="2"/>
        <v>250</v>
      </c>
      <c r="W52" s="169">
        <f t="shared" si="3"/>
        <v>0</v>
      </c>
      <c r="X52" s="170">
        <f t="shared" si="4"/>
        <v>0</v>
      </c>
      <c r="Y52" s="574">
        <v>0</v>
      </c>
    </row>
    <row r="54" spans="1:25" x14ac:dyDescent="0.2">
      <c r="X54" s="415"/>
      <c r="Y54" s="415"/>
    </row>
    <row r="58" spans="1:25" x14ac:dyDescent="0.2">
      <c r="J58" s="646"/>
    </row>
  </sheetData>
  <sheetProtection algorithmName="SHA-512" hashValue="foZiZtUlFZauOwC0d3n3r7VIKxnGtBvxOKjSwoRVJwJw38gFF3unUpdrlmTPGDWEUPoAiSxAlqCEO28fWp9Kgg==" saltValue="0Dl/ZnqEZnq0U0sPAFeQGQ==" spinCount="100000" sheet="1" objects="1" scenarios="1" formatCells="0" formatColumns="0" formatRows="0" autoFilter="0"/>
  <autoFilter ref="A5:X52"/>
  <dataConsolidate/>
  <mergeCells count="24">
    <mergeCell ref="F2:F3"/>
    <mergeCell ref="A2:A3"/>
    <mergeCell ref="B2:B3"/>
    <mergeCell ref="C2:C3"/>
    <mergeCell ref="D2:D3"/>
    <mergeCell ref="E2:E3"/>
    <mergeCell ref="S2:S3"/>
    <mergeCell ref="G2:G3"/>
    <mergeCell ref="H2:H3"/>
    <mergeCell ref="I2:I3"/>
    <mergeCell ref="J2:K2"/>
    <mergeCell ref="L2:L3"/>
    <mergeCell ref="M2:M3"/>
    <mergeCell ref="N2:N3"/>
    <mergeCell ref="O2:O3"/>
    <mergeCell ref="P2:P3"/>
    <mergeCell ref="Q2:Q3"/>
    <mergeCell ref="R2:R3"/>
    <mergeCell ref="Y2:Y3"/>
    <mergeCell ref="T2:T3"/>
    <mergeCell ref="U2:U3"/>
    <mergeCell ref="V2:V3"/>
    <mergeCell ref="W2:W3"/>
    <mergeCell ref="X2:X3"/>
  </mergeCells>
  <conditionalFormatting sqref="K3">
    <cfRule type="cellIs" dxfId="54" priority="11" stopIfTrue="1" operator="equal">
      <formula>0</formula>
    </cfRule>
  </conditionalFormatting>
  <conditionalFormatting sqref="A2">
    <cfRule type="cellIs" dxfId="53" priority="10" stopIfTrue="1" operator="equal">
      <formula>0</formula>
    </cfRule>
  </conditionalFormatting>
  <conditionalFormatting sqref="J2">
    <cfRule type="cellIs" dxfId="52" priority="9" stopIfTrue="1" operator="equal">
      <formula>0</formula>
    </cfRule>
  </conditionalFormatting>
  <conditionalFormatting sqref="B2 E2:I2">
    <cfRule type="cellIs" dxfId="51" priority="8" stopIfTrue="1" operator="equal">
      <formula>0</formula>
    </cfRule>
  </conditionalFormatting>
  <conditionalFormatting sqref="L2:V2">
    <cfRule type="cellIs" dxfId="50" priority="7" stopIfTrue="1" operator="equal">
      <formula>0</formula>
    </cfRule>
  </conditionalFormatting>
  <conditionalFormatting sqref="W2:X2">
    <cfRule type="cellIs" dxfId="49" priority="6" stopIfTrue="1" operator="equal">
      <formula>0</formula>
    </cfRule>
  </conditionalFormatting>
  <conditionalFormatting sqref="J3">
    <cfRule type="cellIs" dxfId="48" priority="5" stopIfTrue="1" operator="equal">
      <formula>0</formula>
    </cfRule>
  </conditionalFormatting>
  <conditionalFormatting sqref="C2:D2">
    <cfRule type="cellIs" dxfId="47" priority="4" stopIfTrue="1" operator="equal">
      <formula>0</formula>
    </cfRule>
  </conditionalFormatting>
  <conditionalFormatting sqref="D6:D52">
    <cfRule type="cellIs" dxfId="46" priority="3" stopIfTrue="1" operator="equal">
      <formula>0</formula>
    </cfRule>
  </conditionalFormatting>
  <conditionalFormatting sqref="Y2">
    <cfRule type="cellIs" dxfId="45" priority="1" stopIfTrue="1" operator="equal">
      <formula>0</formula>
    </cfRule>
  </conditionalFormatting>
  <dataValidations count="1">
    <dataValidation type="list" allowBlank="1" showInputMessage="1" showErrorMessage="1" sqref="C6:C52">
      <formula1>HS0</formula1>
    </dataValidation>
  </dataValidations>
  <pageMargins left="0.7" right="0.7" top="0.78740157499999996" bottom="0.78740157499999996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zoomScale="70" zoomScaleNormal="70" workbookViewId="0">
      <selection activeCell="F24" sqref="F24"/>
    </sheetView>
  </sheetViews>
  <sheetFormatPr defaultRowHeight="12.75" x14ac:dyDescent="0.2"/>
  <cols>
    <col min="1" max="2" width="9.140625" style="1"/>
    <col min="3" max="3" width="21.42578125" style="1" customWidth="1"/>
    <col min="4" max="4" width="10.42578125" style="1" customWidth="1"/>
    <col min="5" max="5" width="6.5703125" style="1" customWidth="1"/>
    <col min="6" max="6" width="26" style="1" customWidth="1"/>
    <col min="7" max="7" width="5.28515625" style="1" customWidth="1"/>
    <col min="8" max="8" width="5.5703125" style="1" customWidth="1"/>
    <col min="9" max="9" width="12.140625" style="1" customWidth="1"/>
    <col min="10" max="10" width="9.28515625" style="1" bestFit="1" customWidth="1"/>
    <col min="11" max="11" width="9.140625" style="1"/>
    <col min="12" max="12" width="10.85546875" style="1" customWidth="1"/>
    <col min="13" max="21" width="9.140625" style="1"/>
    <col min="22" max="22" width="10.140625" style="1" bestFit="1" customWidth="1"/>
    <col min="23" max="24" width="11.5703125" style="1" customWidth="1"/>
    <col min="25" max="25" width="13.42578125" style="1" customWidth="1"/>
    <col min="26" max="258" width="9.140625" style="1"/>
    <col min="259" max="259" width="34.42578125" style="1" customWidth="1"/>
    <col min="260" max="260" width="9.140625" style="1"/>
    <col min="261" max="261" width="11.42578125" style="1" bestFit="1" customWidth="1"/>
    <col min="262" max="262" width="31.7109375" style="1" bestFit="1" customWidth="1"/>
    <col min="263" max="263" width="10" style="1" customWidth="1"/>
    <col min="264" max="267" width="9.140625" style="1"/>
    <col min="268" max="268" width="10.85546875" style="1" customWidth="1"/>
    <col min="269" max="277" width="9.140625" style="1"/>
    <col min="278" max="278" width="10" style="1" bestFit="1" customWidth="1"/>
    <col min="279" max="514" width="9.140625" style="1"/>
    <col min="515" max="515" width="34.42578125" style="1" customWidth="1"/>
    <col min="516" max="516" width="9.140625" style="1"/>
    <col min="517" max="517" width="11.42578125" style="1" bestFit="1" customWidth="1"/>
    <col min="518" max="518" width="31.7109375" style="1" bestFit="1" customWidth="1"/>
    <col min="519" max="519" width="10" style="1" customWidth="1"/>
    <col min="520" max="523" width="9.140625" style="1"/>
    <col min="524" max="524" width="10.85546875" style="1" customWidth="1"/>
    <col min="525" max="533" width="9.140625" style="1"/>
    <col min="534" max="534" width="10" style="1" bestFit="1" customWidth="1"/>
    <col min="535" max="770" width="9.140625" style="1"/>
    <col min="771" max="771" width="34.42578125" style="1" customWidth="1"/>
    <col min="772" max="772" width="9.140625" style="1"/>
    <col min="773" max="773" width="11.42578125" style="1" bestFit="1" customWidth="1"/>
    <col min="774" max="774" width="31.7109375" style="1" bestFit="1" customWidth="1"/>
    <col min="775" max="775" width="10" style="1" customWidth="1"/>
    <col min="776" max="779" width="9.140625" style="1"/>
    <col min="780" max="780" width="10.85546875" style="1" customWidth="1"/>
    <col min="781" max="789" width="9.140625" style="1"/>
    <col min="790" max="790" width="10" style="1" bestFit="1" customWidth="1"/>
    <col min="791" max="1026" width="9.140625" style="1"/>
    <col min="1027" max="1027" width="34.42578125" style="1" customWidth="1"/>
    <col min="1028" max="1028" width="9.140625" style="1"/>
    <col min="1029" max="1029" width="11.42578125" style="1" bestFit="1" customWidth="1"/>
    <col min="1030" max="1030" width="31.7109375" style="1" bestFit="1" customWidth="1"/>
    <col min="1031" max="1031" width="10" style="1" customWidth="1"/>
    <col min="1032" max="1035" width="9.140625" style="1"/>
    <col min="1036" max="1036" width="10.85546875" style="1" customWidth="1"/>
    <col min="1037" max="1045" width="9.140625" style="1"/>
    <col min="1046" max="1046" width="10" style="1" bestFit="1" customWidth="1"/>
    <col min="1047" max="1282" width="9.140625" style="1"/>
    <col min="1283" max="1283" width="34.42578125" style="1" customWidth="1"/>
    <col min="1284" max="1284" width="9.140625" style="1"/>
    <col min="1285" max="1285" width="11.42578125" style="1" bestFit="1" customWidth="1"/>
    <col min="1286" max="1286" width="31.7109375" style="1" bestFit="1" customWidth="1"/>
    <col min="1287" max="1287" width="10" style="1" customWidth="1"/>
    <col min="1288" max="1291" width="9.140625" style="1"/>
    <col min="1292" max="1292" width="10.85546875" style="1" customWidth="1"/>
    <col min="1293" max="1301" width="9.140625" style="1"/>
    <col min="1302" max="1302" width="10" style="1" bestFit="1" customWidth="1"/>
    <col min="1303" max="1538" width="9.140625" style="1"/>
    <col min="1539" max="1539" width="34.42578125" style="1" customWidth="1"/>
    <col min="1540" max="1540" width="9.140625" style="1"/>
    <col min="1541" max="1541" width="11.42578125" style="1" bestFit="1" customWidth="1"/>
    <col min="1542" max="1542" width="31.7109375" style="1" bestFit="1" customWidth="1"/>
    <col min="1543" max="1543" width="10" style="1" customWidth="1"/>
    <col min="1544" max="1547" width="9.140625" style="1"/>
    <col min="1548" max="1548" width="10.85546875" style="1" customWidth="1"/>
    <col min="1549" max="1557" width="9.140625" style="1"/>
    <col min="1558" max="1558" width="10" style="1" bestFit="1" customWidth="1"/>
    <col min="1559" max="1794" width="9.140625" style="1"/>
    <col min="1795" max="1795" width="34.42578125" style="1" customWidth="1"/>
    <col min="1796" max="1796" width="9.140625" style="1"/>
    <col min="1797" max="1797" width="11.42578125" style="1" bestFit="1" customWidth="1"/>
    <col min="1798" max="1798" width="31.7109375" style="1" bestFit="1" customWidth="1"/>
    <col min="1799" max="1799" width="10" style="1" customWidth="1"/>
    <col min="1800" max="1803" width="9.140625" style="1"/>
    <col min="1804" max="1804" width="10.85546875" style="1" customWidth="1"/>
    <col min="1805" max="1813" width="9.140625" style="1"/>
    <col min="1814" max="1814" width="10" style="1" bestFit="1" customWidth="1"/>
    <col min="1815" max="2050" width="9.140625" style="1"/>
    <col min="2051" max="2051" width="34.42578125" style="1" customWidth="1"/>
    <col min="2052" max="2052" width="9.140625" style="1"/>
    <col min="2053" max="2053" width="11.42578125" style="1" bestFit="1" customWidth="1"/>
    <col min="2054" max="2054" width="31.7109375" style="1" bestFit="1" customWidth="1"/>
    <col min="2055" max="2055" width="10" style="1" customWidth="1"/>
    <col min="2056" max="2059" width="9.140625" style="1"/>
    <col min="2060" max="2060" width="10.85546875" style="1" customWidth="1"/>
    <col min="2061" max="2069" width="9.140625" style="1"/>
    <col min="2070" max="2070" width="10" style="1" bestFit="1" customWidth="1"/>
    <col min="2071" max="2306" width="9.140625" style="1"/>
    <col min="2307" max="2307" width="34.42578125" style="1" customWidth="1"/>
    <col min="2308" max="2308" width="9.140625" style="1"/>
    <col min="2309" max="2309" width="11.42578125" style="1" bestFit="1" customWidth="1"/>
    <col min="2310" max="2310" width="31.7109375" style="1" bestFit="1" customWidth="1"/>
    <col min="2311" max="2311" width="10" style="1" customWidth="1"/>
    <col min="2312" max="2315" width="9.140625" style="1"/>
    <col min="2316" max="2316" width="10.85546875" style="1" customWidth="1"/>
    <col min="2317" max="2325" width="9.140625" style="1"/>
    <col min="2326" max="2326" width="10" style="1" bestFit="1" customWidth="1"/>
    <col min="2327" max="2562" width="9.140625" style="1"/>
    <col min="2563" max="2563" width="34.42578125" style="1" customWidth="1"/>
    <col min="2564" max="2564" width="9.140625" style="1"/>
    <col min="2565" max="2565" width="11.42578125" style="1" bestFit="1" customWidth="1"/>
    <col min="2566" max="2566" width="31.7109375" style="1" bestFit="1" customWidth="1"/>
    <col min="2567" max="2567" width="10" style="1" customWidth="1"/>
    <col min="2568" max="2571" width="9.140625" style="1"/>
    <col min="2572" max="2572" width="10.85546875" style="1" customWidth="1"/>
    <col min="2573" max="2581" width="9.140625" style="1"/>
    <col min="2582" max="2582" width="10" style="1" bestFit="1" customWidth="1"/>
    <col min="2583" max="2818" width="9.140625" style="1"/>
    <col min="2819" max="2819" width="34.42578125" style="1" customWidth="1"/>
    <col min="2820" max="2820" width="9.140625" style="1"/>
    <col min="2821" max="2821" width="11.42578125" style="1" bestFit="1" customWidth="1"/>
    <col min="2822" max="2822" width="31.7109375" style="1" bestFit="1" customWidth="1"/>
    <col min="2823" max="2823" width="10" style="1" customWidth="1"/>
    <col min="2824" max="2827" width="9.140625" style="1"/>
    <col min="2828" max="2828" width="10.85546875" style="1" customWidth="1"/>
    <col min="2829" max="2837" width="9.140625" style="1"/>
    <col min="2838" max="2838" width="10" style="1" bestFit="1" customWidth="1"/>
    <col min="2839" max="3074" width="9.140625" style="1"/>
    <col min="3075" max="3075" width="34.42578125" style="1" customWidth="1"/>
    <col min="3076" max="3076" width="9.140625" style="1"/>
    <col min="3077" max="3077" width="11.42578125" style="1" bestFit="1" customWidth="1"/>
    <col min="3078" max="3078" width="31.7109375" style="1" bestFit="1" customWidth="1"/>
    <col min="3079" max="3079" width="10" style="1" customWidth="1"/>
    <col min="3080" max="3083" width="9.140625" style="1"/>
    <col min="3084" max="3084" width="10.85546875" style="1" customWidth="1"/>
    <col min="3085" max="3093" width="9.140625" style="1"/>
    <col min="3094" max="3094" width="10" style="1" bestFit="1" customWidth="1"/>
    <col min="3095" max="3330" width="9.140625" style="1"/>
    <col min="3331" max="3331" width="34.42578125" style="1" customWidth="1"/>
    <col min="3332" max="3332" width="9.140625" style="1"/>
    <col min="3333" max="3333" width="11.42578125" style="1" bestFit="1" customWidth="1"/>
    <col min="3334" max="3334" width="31.7109375" style="1" bestFit="1" customWidth="1"/>
    <col min="3335" max="3335" width="10" style="1" customWidth="1"/>
    <col min="3336" max="3339" width="9.140625" style="1"/>
    <col min="3340" max="3340" width="10.85546875" style="1" customWidth="1"/>
    <col min="3341" max="3349" width="9.140625" style="1"/>
    <col min="3350" max="3350" width="10" style="1" bestFit="1" customWidth="1"/>
    <col min="3351" max="3586" width="9.140625" style="1"/>
    <col min="3587" max="3587" width="34.42578125" style="1" customWidth="1"/>
    <col min="3588" max="3588" width="9.140625" style="1"/>
    <col min="3589" max="3589" width="11.42578125" style="1" bestFit="1" customWidth="1"/>
    <col min="3590" max="3590" width="31.7109375" style="1" bestFit="1" customWidth="1"/>
    <col min="3591" max="3591" width="10" style="1" customWidth="1"/>
    <col min="3592" max="3595" width="9.140625" style="1"/>
    <col min="3596" max="3596" width="10.85546875" style="1" customWidth="1"/>
    <col min="3597" max="3605" width="9.140625" style="1"/>
    <col min="3606" max="3606" width="10" style="1" bestFit="1" customWidth="1"/>
    <col min="3607" max="3842" width="9.140625" style="1"/>
    <col min="3843" max="3843" width="34.42578125" style="1" customWidth="1"/>
    <col min="3844" max="3844" width="9.140625" style="1"/>
    <col min="3845" max="3845" width="11.42578125" style="1" bestFit="1" customWidth="1"/>
    <col min="3846" max="3846" width="31.7109375" style="1" bestFit="1" customWidth="1"/>
    <col min="3847" max="3847" width="10" style="1" customWidth="1"/>
    <col min="3848" max="3851" width="9.140625" style="1"/>
    <col min="3852" max="3852" width="10.85546875" style="1" customWidth="1"/>
    <col min="3853" max="3861" width="9.140625" style="1"/>
    <col min="3862" max="3862" width="10" style="1" bestFit="1" customWidth="1"/>
    <col min="3863" max="4098" width="9.140625" style="1"/>
    <col min="4099" max="4099" width="34.42578125" style="1" customWidth="1"/>
    <col min="4100" max="4100" width="9.140625" style="1"/>
    <col min="4101" max="4101" width="11.42578125" style="1" bestFit="1" customWidth="1"/>
    <col min="4102" max="4102" width="31.7109375" style="1" bestFit="1" customWidth="1"/>
    <col min="4103" max="4103" width="10" style="1" customWidth="1"/>
    <col min="4104" max="4107" width="9.140625" style="1"/>
    <col min="4108" max="4108" width="10.85546875" style="1" customWidth="1"/>
    <col min="4109" max="4117" width="9.140625" style="1"/>
    <col min="4118" max="4118" width="10" style="1" bestFit="1" customWidth="1"/>
    <col min="4119" max="4354" width="9.140625" style="1"/>
    <col min="4355" max="4355" width="34.42578125" style="1" customWidth="1"/>
    <col min="4356" max="4356" width="9.140625" style="1"/>
    <col min="4357" max="4357" width="11.42578125" style="1" bestFit="1" customWidth="1"/>
    <col min="4358" max="4358" width="31.7109375" style="1" bestFit="1" customWidth="1"/>
    <col min="4359" max="4359" width="10" style="1" customWidth="1"/>
    <col min="4360" max="4363" width="9.140625" style="1"/>
    <col min="4364" max="4364" width="10.85546875" style="1" customWidth="1"/>
    <col min="4365" max="4373" width="9.140625" style="1"/>
    <col min="4374" max="4374" width="10" style="1" bestFit="1" customWidth="1"/>
    <col min="4375" max="4610" width="9.140625" style="1"/>
    <col min="4611" max="4611" width="34.42578125" style="1" customWidth="1"/>
    <col min="4612" max="4612" width="9.140625" style="1"/>
    <col min="4613" max="4613" width="11.42578125" style="1" bestFit="1" customWidth="1"/>
    <col min="4614" max="4614" width="31.7109375" style="1" bestFit="1" customWidth="1"/>
    <col min="4615" max="4615" width="10" style="1" customWidth="1"/>
    <col min="4616" max="4619" width="9.140625" style="1"/>
    <col min="4620" max="4620" width="10.85546875" style="1" customWidth="1"/>
    <col min="4621" max="4629" width="9.140625" style="1"/>
    <col min="4630" max="4630" width="10" style="1" bestFit="1" customWidth="1"/>
    <col min="4631" max="4866" width="9.140625" style="1"/>
    <col min="4867" max="4867" width="34.42578125" style="1" customWidth="1"/>
    <col min="4868" max="4868" width="9.140625" style="1"/>
    <col min="4869" max="4869" width="11.42578125" style="1" bestFit="1" customWidth="1"/>
    <col min="4870" max="4870" width="31.7109375" style="1" bestFit="1" customWidth="1"/>
    <col min="4871" max="4871" width="10" style="1" customWidth="1"/>
    <col min="4872" max="4875" width="9.140625" style="1"/>
    <col min="4876" max="4876" width="10.85546875" style="1" customWidth="1"/>
    <col min="4877" max="4885" width="9.140625" style="1"/>
    <col min="4886" max="4886" width="10" style="1" bestFit="1" customWidth="1"/>
    <col min="4887" max="5122" width="9.140625" style="1"/>
    <col min="5123" max="5123" width="34.42578125" style="1" customWidth="1"/>
    <col min="5124" max="5124" width="9.140625" style="1"/>
    <col min="5125" max="5125" width="11.42578125" style="1" bestFit="1" customWidth="1"/>
    <col min="5126" max="5126" width="31.7109375" style="1" bestFit="1" customWidth="1"/>
    <col min="5127" max="5127" width="10" style="1" customWidth="1"/>
    <col min="5128" max="5131" width="9.140625" style="1"/>
    <col min="5132" max="5132" width="10.85546875" style="1" customWidth="1"/>
    <col min="5133" max="5141" width="9.140625" style="1"/>
    <col min="5142" max="5142" width="10" style="1" bestFit="1" customWidth="1"/>
    <col min="5143" max="5378" width="9.140625" style="1"/>
    <col min="5379" max="5379" width="34.42578125" style="1" customWidth="1"/>
    <col min="5380" max="5380" width="9.140625" style="1"/>
    <col min="5381" max="5381" width="11.42578125" style="1" bestFit="1" customWidth="1"/>
    <col min="5382" max="5382" width="31.7109375" style="1" bestFit="1" customWidth="1"/>
    <col min="5383" max="5383" width="10" style="1" customWidth="1"/>
    <col min="5384" max="5387" width="9.140625" style="1"/>
    <col min="5388" max="5388" width="10.85546875" style="1" customWidth="1"/>
    <col min="5389" max="5397" width="9.140625" style="1"/>
    <col min="5398" max="5398" width="10" style="1" bestFit="1" customWidth="1"/>
    <col min="5399" max="5634" width="9.140625" style="1"/>
    <col min="5635" max="5635" width="34.42578125" style="1" customWidth="1"/>
    <col min="5636" max="5636" width="9.140625" style="1"/>
    <col min="5637" max="5637" width="11.42578125" style="1" bestFit="1" customWidth="1"/>
    <col min="5638" max="5638" width="31.7109375" style="1" bestFit="1" customWidth="1"/>
    <col min="5639" max="5639" width="10" style="1" customWidth="1"/>
    <col min="5640" max="5643" width="9.140625" style="1"/>
    <col min="5644" max="5644" width="10.85546875" style="1" customWidth="1"/>
    <col min="5645" max="5653" width="9.140625" style="1"/>
    <col min="5654" max="5654" width="10" style="1" bestFit="1" customWidth="1"/>
    <col min="5655" max="5890" width="9.140625" style="1"/>
    <col min="5891" max="5891" width="34.42578125" style="1" customWidth="1"/>
    <col min="5892" max="5892" width="9.140625" style="1"/>
    <col min="5893" max="5893" width="11.42578125" style="1" bestFit="1" customWidth="1"/>
    <col min="5894" max="5894" width="31.7109375" style="1" bestFit="1" customWidth="1"/>
    <col min="5895" max="5895" width="10" style="1" customWidth="1"/>
    <col min="5896" max="5899" width="9.140625" style="1"/>
    <col min="5900" max="5900" width="10.85546875" style="1" customWidth="1"/>
    <col min="5901" max="5909" width="9.140625" style="1"/>
    <col min="5910" max="5910" width="10" style="1" bestFit="1" customWidth="1"/>
    <col min="5911" max="6146" width="9.140625" style="1"/>
    <col min="6147" max="6147" width="34.42578125" style="1" customWidth="1"/>
    <col min="6148" max="6148" width="9.140625" style="1"/>
    <col min="6149" max="6149" width="11.42578125" style="1" bestFit="1" customWidth="1"/>
    <col min="6150" max="6150" width="31.7109375" style="1" bestFit="1" customWidth="1"/>
    <col min="6151" max="6151" width="10" style="1" customWidth="1"/>
    <col min="6152" max="6155" width="9.140625" style="1"/>
    <col min="6156" max="6156" width="10.85546875" style="1" customWidth="1"/>
    <col min="6157" max="6165" width="9.140625" style="1"/>
    <col min="6166" max="6166" width="10" style="1" bestFit="1" customWidth="1"/>
    <col min="6167" max="6402" width="9.140625" style="1"/>
    <col min="6403" max="6403" width="34.42578125" style="1" customWidth="1"/>
    <col min="6404" max="6404" width="9.140625" style="1"/>
    <col min="6405" max="6405" width="11.42578125" style="1" bestFit="1" customWidth="1"/>
    <col min="6406" max="6406" width="31.7109375" style="1" bestFit="1" customWidth="1"/>
    <col min="6407" max="6407" width="10" style="1" customWidth="1"/>
    <col min="6408" max="6411" width="9.140625" style="1"/>
    <col min="6412" max="6412" width="10.85546875" style="1" customWidth="1"/>
    <col min="6413" max="6421" width="9.140625" style="1"/>
    <col min="6422" max="6422" width="10" style="1" bestFit="1" customWidth="1"/>
    <col min="6423" max="6658" width="9.140625" style="1"/>
    <col min="6659" max="6659" width="34.42578125" style="1" customWidth="1"/>
    <col min="6660" max="6660" width="9.140625" style="1"/>
    <col min="6661" max="6661" width="11.42578125" style="1" bestFit="1" customWidth="1"/>
    <col min="6662" max="6662" width="31.7109375" style="1" bestFit="1" customWidth="1"/>
    <col min="6663" max="6663" width="10" style="1" customWidth="1"/>
    <col min="6664" max="6667" width="9.140625" style="1"/>
    <col min="6668" max="6668" width="10.85546875" style="1" customWidth="1"/>
    <col min="6669" max="6677" width="9.140625" style="1"/>
    <col min="6678" max="6678" width="10" style="1" bestFit="1" customWidth="1"/>
    <col min="6679" max="6914" width="9.140625" style="1"/>
    <col min="6915" max="6915" width="34.42578125" style="1" customWidth="1"/>
    <col min="6916" max="6916" width="9.140625" style="1"/>
    <col min="6917" max="6917" width="11.42578125" style="1" bestFit="1" customWidth="1"/>
    <col min="6918" max="6918" width="31.7109375" style="1" bestFit="1" customWidth="1"/>
    <col min="6919" max="6919" width="10" style="1" customWidth="1"/>
    <col min="6920" max="6923" width="9.140625" style="1"/>
    <col min="6924" max="6924" width="10.85546875" style="1" customWidth="1"/>
    <col min="6925" max="6933" width="9.140625" style="1"/>
    <col min="6934" max="6934" width="10" style="1" bestFit="1" customWidth="1"/>
    <col min="6935" max="7170" width="9.140625" style="1"/>
    <col min="7171" max="7171" width="34.42578125" style="1" customWidth="1"/>
    <col min="7172" max="7172" width="9.140625" style="1"/>
    <col min="7173" max="7173" width="11.42578125" style="1" bestFit="1" customWidth="1"/>
    <col min="7174" max="7174" width="31.7109375" style="1" bestFit="1" customWidth="1"/>
    <col min="7175" max="7175" width="10" style="1" customWidth="1"/>
    <col min="7176" max="7179" width="9.140625" style="1"/>
    <col min="7180" max="7180" width="10.85546875" style="1" customWidth="1"/>
    <col min="7181" max="7189" width="9.140625" style="1"/>
    <col min="7190" max="7190" width="10" style="1" bestFit="1" customWidth="1"/>
    <col min="7191" max="7426" width="9.140625" style="1"/>
    <col min="7427" max="7427" width="34.42578125" style="1" customWidth="1"/>
    <col min="7428" max="7428" width="9.140625" style="1"/>
    <col min="7429" max="7429" width="11.42578125" style="1" bestFit="1" customWidth="1"/>
    <col min="7430" max="7430" width="31.7109375" style="1" bestFit="1" customWidth="1"/>
    <col min="7431" max="7431" width="10" style="1" customWidth="1"/>
    <col min="7432" max="7435" width="9.140625" style="1"/>
    <col min="7436" max="7436" width="10.85546875" style="1" customWidth="1"/>
    <col min="7437" max="7445" width="9.140625" style="1"/>
    <col min="7446" max="7446" width="10" style="1" bestFit="1" customWidth="1"/>
    <col min="7447" max="7682" width="9.140625" style="1"/>
    <col min="7683" max="7683" width="34.42578125" style="1" customWidth="1"/>
    <col min="7684" max="7684" width="9.140625" style="1"/>
    <col min="7685" max="7685" width="11.42578125" style="1" bestFit="1" customWidth="1"/>
    <col min="7686" max="7686" width="31.7109375" style="1" bestFit="1" customWidth="1"/>
    <col min="7687" max="7687" width="10" style="1" customWidth="1"/>
    <col min="7688" max="7691" width="9.140625" style="1"/>
    <col min="7692" max="7692" width="10.85546875" style="1" customWidth="1"/>
    <col min="7693" max="7701" width="9.140625" style="1"/>
    <col min="7702" max="7702" width="10" style="1" bestFit="1" customWidth="1"/>
    <col min="7703" max="7938" width="9.140625" style="1"/>
    <col min="7939" max="7939" width="34.42578125" style="1" customWidth="1"/>
    <col min="7940" max="7940" width="9.140625" style="1"/>
    <col min="7941" max="7941" width="11.42578125" style="1" bestFit="1" customWidth="1"/>
    <col min="7942" max="7942" width="31.7109375" style="1" bestFit="1" customWidth="1"/>
    <col min="7943" max="7943" width="10" style="1" customWidth="1"/>
    <col min="7944" max="7947" width="9.140625" style="1"/>
    <col min="7948" max="7948" width="10.85546875" style="1" customWidth="1"/>
    <col min="7949" max="7957" width="9.140625" style="1"/>
    <col min="7958" max="7958" width="10" style="1" bestFit="1" customWidth="1"/>
    <col min="7959" max="8194" width="9.140625" style="1"/>
    <col min="8195" max="8195" width="34.42578125" style="1" customWidth="1"/>
    <col min="8196" max="8196" width="9.140625" style="1"/>
    <col min="8197" max="8197" width="11.42578125" style="1" bestFit="1" customWidth="1"/>
    <col min="8198" max="8198" width="31.7109375" style="1" bestFit="1" customWidth="1"/>
    <col min="8199" max="8199" width="10" style="1" customWidth="1"/>
    <col min="8200" max="8203" width="9.140625" style="1"/>
    <col min="8204" max="8204" width="10.85546875" style="1" customWidth="1"/>
    <col min="8205" max="8213" width="9.140625" style="1"/>
    <col min="8214" max="8214" width="10" style="1" bestFit="1" customWidth="1"/>
    <col min="8215" max="8450" width="9.140625" style="1"/>
    <col min="8451" max="8451" width="34.42578125" style="1" customWidth="1"/>
    <col min="8452" max="8452" width="9.140625" style="1"/>
    <col min="8453" max="8453" width="11.42578125" style="1" bestFit="1" customWidth="1"/>
    <col min="8454" max="8454" width="31.7109375" style="1" bestFit="1" customWidth="1"/>
    <col min="8455" max="8455" width="10" style="1" customWidth="1"/>
    <col min="8456" max="8459" width="9.140625" style="1"/>
    <col min="8460" max="8460" width="10.85546875" style="1" customWidth="1"/>
    <col min="8461" max="8469" width="9.140625" style="1"/>
    <col min="8470" max="8470" width="10" style="1" bestFit="1" customWidth="1"/>
    <col min="8471" max="8706" width="9.140625" style="1"/>
    <col min="8707" max="8707" width="34.42578125" style="1" customWidth="1"/>
    <col min="8708" max="8708" width="9.140625" style="1"/>
    <col min="8709" max="8709" width="11.42578125" style="1" bestFit="1" customWidth="1"/>
    <col min="8710" max="8710" width="31.7109375" style="1" bestFit="1" customWidth="1"/>
    <col min="8711" max="8711" width="10" style="1" customWidth="1"/>
    <col min="8712" max="8715" width="9.140625" style="1"/>
    <col min="8716" max="8716" width="10.85546875" style="1" customWidth="1"/>
    <col min="8717" max="8725" width="9.140625" style="1"/>
    <col min="8726" max="8726" width="10" style="1" bestFit="1" customWidth="1"/>
    <col min="8727" max="8962" width="9.140625" style="1"/>
    <col min="8963" max="8963" width="34.42578125" style="1" customWidth="1"/>
    <col min="8964" max="8964" width="9.140625" style="1"/>
    <col min="8965" max="8965" width="11.42578125" style="1" bestFit="1" customWidth="1"/>
    <col min="8966" max="8966" width="31.7109375" style="1" bestFit="1" customWidth="1"/>
    <col min="8967" max="8967" width="10" style="1" customWidth="1"/>
    <col min="8968" max="8971" width="9.140625" style="1"/>
    <col min="8972" max="8972" width="10.85546875" style="1" customWidth="1"/>
    <col min="8973" max="8981" width="9.140625" style="1"/>
    <col min="8982" max="8982" width="10" style="1" bestFit="1" customWidth="1"/>
    <col min="8983" max="9218" width="9.140625" style="1"/>
    <col min="9219" max="9219" width="34.42578125" style="1" customWidth="1"/>
    <col min="9220" max="9220" width="9.140625" style="1"/>
    <col min="9221" max="9221" width="11.42578125" style="1" bestFit="1" customWidth="1"/>
    <col min="9222" max="9222" width="31.7109375" style="1" bestFit="1" customWidth="1"/>
    <col min="9223" max="9223" width="10" style="1" customWidth="1"/>
    <col min="9224" max="9227" width="9.140625" style="1"/>
    <col min="9228" max="9228" width="10.85546875" style="1" customWidth="1"/>
    <col min="9229" max="9237" width="9.140625" style="1"/>
    <col min="9238" max="9238" width="10" style="1" bestFit="1" customWidth="1"/>
    <col min="9239" max="9474" width="9.140625" style="1"/>
    <col min="9475" max="9475" width="34.42578125" style="1" customWidth="1"/>
    <col min="9476" max="9476" width="9.140625" style="1"/>
    <col min="9477" max="9477" width="11.42578125" style="1" bestFit="1" customWidth="1"/>
    <col min="9478" max="9478" width="31.7109375" style="1" bestFit="1" customWidth="1"/>
    <col min="9479" max="9479" width="10" style="1" customWidth="1"/>
    <col min="9480" max="9483" width="9.140625" style="1"/>
    <col min="9484" max="9484" width="10.85546875" style="1" customWidth="1"/>
    <col min="9485" max="9493" width="9.140625" style="1"/>
    <col min="9494" max="9494" width="10" style="1" bestFit="1" customWidth="1"/>
    <col min="9495" max="9730" width="9.140625" style="1"/>
    <col min="9731" max="9731" width="34.42578125" style="1" customWidth="1"/>
    <col min="9732" max="9732" width="9.140625" style="1"/>
    <col min="9733" max="9733" width="11.42578125" style="1" bestFit="1" customWidth="1"/>
    <col min="9734" max="9734" width="31.7109375" style="1" bestFit="1" customWidth="1"/>
    <col min="9735" max="9735" width="10" style="1" customWidth="1"/>
    <col min="9736" max="9739" width="9.140625" style="1"/>
    <col min="9740" max="9740" width="10.85546875" style="1" customWidth="1"/>
    <col min="9741" max="9749" width="9.140625" style="1"/>
    <col min="9750" max="9750" width="10" style="1" bestFit="1" customWidth="1"/>
    <col min="9751" max="9986" width="9.140625" style="1"/>
    <col min="9987" max="9987" width="34.42578125" style="1" customWidth="1"/>
    <col min="9988" max="9988" width="9.140625" style="1"/>
    <col min="9989" max="9989" width="11.42578125" style="1" bestFit="1" customWidth="1"/>
    <col min="9990" max="9990" width="31.7109375" style="1" bestFit="1" customWidth="1"/>
    <col min="9991" max="9991" width="10" style="1" customWidth="1"/>
    <col min="9992" max="9995" width="9.140625" style="1"/>
    <col min="9996" max="9996" width="10.85546875" style="1" customWidth="1"/>
    <col min="9997" max="10005" width="9.140625" style="1"/>
    <col min="10006" max="10006" width="10" style="1" bestFit="1" customWidth="1"/>
    <col min="10007" max="10242" width="9.140625" style="1"/>
    <col min="10243" max="10243" width="34.42578125" style="1" customWidth="1"/>
    <col min="10244" max="10244" width="9.140625" style="1"/>
    <col min="10245" max="10245" width="11.42578125" style="1" bestFit="1" customWidth="1"/>
    <col min="10246" max="10246" width="31.7109375" style="1" bestFit="1" customWidth="1"/>
    <col min="10247" max="10247" width="10" style="1" customWidth="1"/>
    <col min="10248" max="10251" width="9.140625" style="1"/>
    <col min="10252" max="10252" width="10.85546875" style="1" customWidth="1"/>
    <col min="10253" max="10261" width="9.140625" style="1"/>
    <col min="10262" max="10262" width="10" style="1" bestFit="1" customWidth="1"/>
    <col min="10263" max="10498" width="9.140625" style="1"/>
    <col min="10499" max="10499" width="34.42578125" style="1" customWidth="1"/>
    <col min="10500" max="10500" width="9.140625" style="1"/>
    <col min="10501" max="10501" width="11.42578125" style="1" bestFit="1" customWidth="1"/>
    <col min="10502" max="10502" width="31.7109375" style="1" bestFit="1" customWidth="1"/>
    <col min="10503" max="10503" width="10" style="1" customWidth="1"/>
    <col min="10504" max="10507" width="9.140625" style="1"/>
    <col min="10508" max="10508" width="10.85546875" style="1" customWidth="1"/>
    <col min="10509" max="10517" width="9.140625" style="1"/>
    <col min="10518" max="10518" width="10" style="1" bestFit="1" customWidth="1"/>
    <col min="10519" max="10754" width="9.140625" style="1"/>
    <col min="10755" max="10755" width="34.42578125" style="1" customWidth="1"/>
    <col min="10756" max="10756" width="9.140625" style="1"/>
    <col min="10757" max="10757" width="11.42578125" style="1" bestFit="1" customWidth="1"/>
    <col min="10758" max="10758" width="31.7109375" style="1" bestFit="1" customWidth="1"/>
    <col min="10759" max="10759" width="10" style="1" customWidth="1"/>
    <col min="10760" max="10763" width="9.140625" style="1"/>
    <col min="10764" max="10764" width="10.85546875" style="1" customWidth="1"/>
    <col min="10765" max="10773" width="9.140625" style="1"/>
    <col min="10774" max="10774" width="10" style="1" bestFit="1" customWidth="1"/>
    <col min="10775" max="11010" width="9.140625" style="1"/>
    <col min="11011" max="11011" width="34.42578125" style="1" customWidth="1"/>
    <col min="11012" max="11012" width="9.140625" style="1"/>
    <col min="11013" max="11013" width="11.42578125" style="1" bestFit="1" customWidth="1"/>
    <col min="11014" max="11014" width="31.7109375" style="1" bestFit="1" customWidth="1"/>
    <col min="11015" max="11015" width="10" style="1" customWidth="1"/>
    <col min="11016" max="11019" width="9.140625" style="1"/>
    <col min="11020" max="11020" width="10.85546875" style="1" customWidth="1"/>
    <col min="11021" max="11029" width="9.140625" style="1"/>
    <col min="11030" max="11030" width="10" style="1" bestFit="1" customWidth="1"/>
    <col min="11031" max="11266" width="9.140625" style="1"/>
    <col min="11267" max="11267" width="34.42578125" style="1" customWidth="1"/>
    <col min="11268" max="11268" width="9.140625" style="1"/>
    <col min="11269" max="11269" width="11.42578125" style="1" bestFit="1" customWidth="1"/>
    <col min="11270" max="11270" width="31.7109375" style="1" bestFit="1" customWidth="1"/>
    <col min="11271" max="11271" width="10" style="1" customWidth="1"/>
    <col min="11272" max="11275" width="9.140625" style="1"/>
    <col min="11276" max="11276" width="10.85546875" style="1" customWidth="1"/>
    <col min="11277" max="11285" width="9.140625" style="1"/>
    <col min="11286" max="11286" width="10" style="1" bestFit="1" customWidth="1"/>
    <col min="11287" max="11522" width="9.140625" style="1"/>
    <col min="11523" max="11523" width="34.42578125" style="1" customWidth="1"/>
    <col min="11524" max="11524" width="9.140625" style="1"/>
    <col min="11525" max="11525" width="11.42578125" style="1" bestFit="1" customWidth="1"/>
    <col min="11526" max="11526" width="31.7109375" style="1" bestFit="1" customWidth="1"/>
    <col min="11527" max="11527" width="10" style="1" customWidth="1"/>
    <col min="11528" max="11531" width="9.140625" style="1"/>
    <col min="11532" max="11532" width="10.85546875" style="1" customWidth="1"/>
    <col min="11533" max="11541" width="9.140625" style="1"/>
    <col min="11542" max="11542" width="10" style="1" bestFit="1" customWidth="1"/>
    <col min="11543" max="11778" width="9.140625" style="1"/>
    <col min="11779" max="11779" width="34.42578125" style="1" customWidth="1"/>
    <col min="11780" max="11780" width="9.140625" style="1"/>
    <col min="11781" max="11781" width="11.42578125" style="1" bestFit="1" customWidth="1"/>
    <col min="11782" max="11782" width="31.7109375" style="1" bestFit="1" customWidth="1"/>
    <col min="11783" max="11783" width="10" style="1" customWidth="1"/>
    <col min="11784" max="11787" width="9.140625" style="1"/>
    <col min="11788" max="11788" width="10.85546875" style="1" customWidth="1"/>
    <col min="11789" max="11797" width="9.140625" style="1"/>
    <col min="11798" max="11798" width="10" style="1" bestFit="1" customWidth="1"/>
    <col min="11799" max="12034" width="9.140625" style="1"/>
    <col min="12035" max="12035" width="34.42578125" style="1" customWidth="1"/>
    <col min="12036" max="12036" width="9.140625" style="1"/>
    <col min="12037" max="12037" width="11.42578125" style="1" bestFit="1" customWidth="1"/>
    <col min="12038" max="12038" width="31.7109375" style="1" bestFit="1" customWidth="1"/>
    <col min="12039" max="12039" width="10" style="1" customWidth="1"/>
    <col min="12040" max="12043" width="9.140625" style="1"/>
    <col min="12044" max="12044" width="10.85546875" style="1" customWidth="1"/>
    <col min="12045" max="12053" width="9.140625" style="1"/>
    <col min="12054" max="12054" width="10" style="1" bestFit="1" customWidth="1"/>
    <col min="12055" max="12290" width="9.140625" style="1"/>
    <col min="12291" max="12291" width="34.42578125" style="1" customWidth="1"/>
    <col min="12292" max="12292" width="9.140625" style="1"/>
    <col min="12293" max="12293" width="11.42578125" style="1" bestFit="1" customWidth="1"/>
    <col min="12294" max="12294" width="31.7109375" style="1" bestFit="1" customWidth="1"/>
    <col min="12295" max="12295" width="10" style="1" customWidth="1"/>
    <col min="12296" max="12299" width="9.140625" style="1"/>
    <col min="12300" max="12300" width="10.85546875" style="1" customWidth="1"/>
    <col min="12301" max="12309" width="9.140625" style="1"/>
    <col min="12310" max="12310" width="10" style="1" bestFit="1" customWidth="1"/>
    <col min="12311" max="12546" width="9.140625" style="1"/>
    <col min="12547" max="12547" width="34.42578125" style="1" customWidth="1"/>
    <col min="12548" max="12548" width="9.140625" style="1"/>
    <col min="12549" max="12549" width="11.42578125" style="1" bestFit="1" customWidth="1"/>
    <col min="12550" max="12550" width="31.7109375" style="1" bestFit="1" customWidth="1"/>
    <col min="12551" max="12551" width="10" style="1" customWidth="1"/>
    <col min="12552" max="12555" width="9.140625" style="1"/>
    <col min="12556" max="12556" width="10.85546875" style="1" customWidth="1"/>
    <col min="12557" max="12565" width="9.140625" style="1"/>
    <col min="12566" max="12566" width="10" style="1" bestFit="1" customWidth="1"/>
    <col min="12567" max="12802" width="9.140625" style="1"/>
    <col min="12803" max="12803" width="34.42578125" style="1" customWidth="1"/>
    <col min="12804" max="12804" width="9.140625" style="1"/>
    <col min="12805" max="12805" width="11.42578125" style="1" bestFit="1" customWidth="1"/>
    <col min="12806" max="12806" width="31.7109375" style="1" bestFit="1" customWidth="1"/>
    <col min="12807" max="12807" width="10" style="1" customWidth="1"/>
    <col min="12808" max="12811" width="9.140625" style="1"/>
    <col min="12812" max="12812" width="10.85546875" style="1" customWidth="1"/>
    <col min="12813" max="12821" width="9.140625" style="1"/>
    <col min="12822" max="12822" width="10" style="1" bestFit="1" customWidth="1"/>
    <col min="12823" max="13058" width="9.140625" style="1"/>
    <col min="13059" max="13059" width="34.42578125" style="1" customWidth="1"/>
    <col min="13060" max="13060" width="9.140625" style="1"/>
    <col min="13061" max="13061" width="11.42578125" style="1" bestFit="1" customWidth="1"/>
    <col min="13062" max="13062" width="31.7109375" style="1" bestFit="1" customWidth="1"/>
    <col min="13063" max="13063" width="10" style="1" customWidth="1"/>
    <col min="13064" max="13067" width="9.140625" style="1"/>
    <col min="13068" max="13068" width="10.85546875" style="1" customWidth="1"/>
    <col min="13069" max="13077" width="9.140625" style="1"/>
    <col min="13078" max="13078" width="10" style="1" bestFit="1" customWidth="1"/>
    <col min="13079" max="13314" width="9.140625" style="1"/>
    <col min="13315" max="13315" width="34.42578125" style="1" customWidth="1"/>
    <col min="13316" max="13316" width="9.140625" style="1"/>
    <col min="13317" max="13317" width="11.42578125" style="1" bestFit="1" customWidth="1"/>
    <col min="13318" max="13318" width="31.7109375" style="1" bestFit="1" customWidth="1"/>
    <col min="13319" max="13319" width="10" style="1" customWidth="1"/>
    <col min="13320" max="13323" width="9.140625" style="1"/>
    <col min="13324" max="13324" width="10.85546875" style="1" customWidth="1"/>
    <col min="13325" max="13333" width="9.140625" style="1"/>
    <col min="13334" max="13334" width="10" style="1" bestFit="1" customWidth="1"/>
    <col min="13335" max="13570" width="9.140625" style="1"/>
    <col min="13571" max="13571" width="34.42578125" style="1" customWidth="1"/>
    <col min="13572" max="13572" width="9.140625" style="1"/>
    <col min="13573" max="13573" width="11.42578125" style="1" bestFit="1" customWidth="1"/>
    <col min="13574" max="13574" width="31.7109375" style="1" bestFit="1" customWidth="1"/>
    <col min="13575" max="13575" width="10" style="1" customWidth="1"/>
    <col min="13576" max="13579" width="9.140625" style="1"/>
    <col min="13580" max="13580" width="10.85546875" style="1" customWidth="1"/>
    <col min="13581" max="13589" width="9.140625" style="1"/>
    <col min="13590" max="13590" width="10" style="1" bestFit="1" customWidth="1"/>
    <col min="13591" max="13826" width="9.140625" style="1"/>
    <col min="13827" max="13827" width="34.42578125" style="1" customWidth="1"/>
    <col min="13828" max="13828" width="9.140625" style="1"/>
    <col min="13829" max="13829" width="11.42578125" style="1" bestFit="1" customWidth="1"/>
    <col min="13830" max="13830" width="31.7109375" style="1" bestFit="1" customWidth="1"/>
    <col min="13831" max="13831" width="10" style="1" customWidth="1"/>
    <col min="13832" max="13835" width="9.140625" style="1"/>
    <col min="13836" max="13836" width="10.85546875" style="1" customWidth="1"/>
    <col min="13837" max="13845" width="9.140625" style="1"/>
    <col min="13846" max="13846" width="10" style="1" bestFit="1" customWidth="1"/>
    <col min="13847" max="14082" width="9.140625" style="1"/>
    <col min="14083" max="14083" width="34.42578125" style="1" customWidth="1"/>
    <col min="14084" max="14084" width="9.140625" style="1"/>
    <col min="14085" max="14085" width="11.42578125" style="1" bestFit="1" customWidth="1"/>
    <col min="14086" max="14086" width="31.7109375" style="1" bestFit="1" customWidth="1"/>
    <col min="14087" max="14087" width="10" style="1" customWidth="1"/>
    <col min="14088" max="14091" width="9.140625" style="1"/>
    <col min="14092" max="14092" width="10.85546875" style="1" customWidth="1"/>
    <col min="14093" max="14101" width="9.140625" style="1"/>
    <col min="14102" max="14102" width="10" style="1" bestFit="1" customWidth="1"/>
    <col min="14103" max="14338" width="9.140625" style="1"/>
    <col min="14339" max="14339" width="34.42578125" style="1" customWidth="1"/>
    <col min="14340" max="14340" width="9.140625" style="1"/>
    <col min="14341" max="14341" width="11.42578125" style="1" bestFit="1" customWidth="1"/>
    <col min="14342" max="14342" width="31.7109375" style="1" bestFit="1" customWidth="1"/>
    <col min="14343" max="14343" width="10" style="1" customWidth="1"/>
    <col min="14344" max="14347" width="9.140625" style="1"/>
    <col min="14348" max="14348" width="10.85546875" style="1" customWidth="1"/>
    <col min="14349" max="14357" width="9.140625" style="1"/>
    <col min="14358" max="14358" width="10" style="1" bestFit="1" customWidth="1"/>
    <col min="14359" max="14594" width="9.140625" style="1"/>
    <col min="14595" max="14595" width="34.42578125" style="1" customWidth="1"/>
    <col min="14596" max="14596" width="9.140625" style="1"/>
    <col min="14597" max="14597" width="11.42578125" style="1" bestFit="1" customWidth="1"/>
    <col min="14598" max="14598" width="31.7109375" style="1" bestFit="1" customWidth="1"/>
    <col min="14599" max="14599" width="10" style="1" customWidth="1"/>
    <col min="14600" max="14603" width="9.140625" style="1"/>
    <col min="14604" max="14604" width="10.85546875" style="1" customWidth="1"/>
    <col min="14605" max="14613" width="9.140625" style="1"/>
    <col min="14614" max="14614" width="10" style="1" bestFit="1" customWidth="1"/>
    <col min="14615" max="14850" width="9.140625" style="1"/>
    <col min="14851" max="14851" width="34.42578125" style="1" customWidth="1"/>
    <col min="14852" max="14852" width="9.140625" style="1"/>
    <col min="14853" max="14853" width="11.42578125" style="1" bestFit="1" customWidth="1"/>
    <col min="14854" max="14854" width="31.7109375" style="1" bestFit="1" customWidth="1"/>
    <col min="14855" max="14855" width="10" style="1" customWidth="1"/>
    <col min="14856" max="14859" width="9.140625" style="1"/>
    <col min="14860" max="14860" width="10.85546875" style="1" customWidth="1"/>
    <col min="14861" max="14869" width="9.140625" style="1"/>
    <col min="14870" max="14870" width="10" style="1" bestFit="1" customWidth="1"/>
    <col min="14871" max="15106" width="9.140625" style="1"/>
    <col min="15107" max="15107" width="34.42578125" style="1" customWidth="1"/>
    <col min="15108" max="15108" width="9.140625" style="1"/>
    <col min="15109" max="15109" width="11.42578125" style="1" bestFit="1" customWidth="1"/>
    <col min="15110" max="15110" width="31.7109375" style="1" bestFit="1" customWidth="1"/>
    <col min="15111" max="15111" width="10" style="1" customWidth="1"/>
    <col min="15112" max="15115" width="9.140625" style="1"/>
    <col min="15116" max="15116" width="10.85546875" style="1" customWidth="1"/>
    <col min="15117" max="15125" width="9.140625" style="1"/>
    <col min="15126" max="15126" width="10" style="1" bestFit="1" customWidth="1"/>
    <col min="15127" max="15362" width="9.140625" style="1"/>
    <col min="15363" max="15363" width="34.42578125" style="1" customWidth="1"/>
    <col min="15364" max="15364" width="9.140625" style="1"/>
    <col min="15365" max="15365" width="11.42578125" style="1" bestFit="1" customWidth="1"/>
    <col min="15366" max="15366" width="31.7109375" style="1" bestFit="1" customWidth="1"/>
    <col min="15367" max="15367" width="10" style="1" customWidth="1"/>
    <col min="15368" max="15371" width="9.140625" style="1"/>
    <col min="15372" max="15372" width="10.85546875" style="1" customWidth="1"/>
    <col min="15373" max="15381" width="9.140625" style="1"/>
    <col min="15382" max="15382" width="10" style="1" bestFit="1" customWidth="1"/>
    <col min="15383" max="15618" width="9.140625" style="1"/>
    <col min="15619" max="15619" width="34.42578125" style="1" customWidth="1"/>
    <col min="15620" max="15620" width="9.140625" style="1"/>
    <col min="15621" max="15621" width="11.42578125" style="1" bestFit="1" customWidth="1"/>
    <col min="15622" max="15622" width="31.7109375" style="1" bestFit="1" customWidth="1"/>
    <col min="15623" max="15623" width="10" style="1" customWidth="1"/>
    <col min="15624" max="15627" width="9.140625" style="1"/>
    <col min="15628" max="15628" width="10.85546875" style="1" customWidth="1"/>
    <col min="15629" max="15637" width="9.140625" style="1"/>
    <col min="15638" max="15638" width="10" style="1" bestFit="1" customWidth="1"/>
    <col min="15639" max="15874" width="9.140625" style="1"/>
    <col min="15875" max="15875" width="34.42578125" style="1" customWidth="1"/>
    <col min="15876" max="15876" width="9.140625" style="1"/>
    <col min="15877" max="15877" width="11.42578125" style="1" bestFit="1" customWidth="1"/>
    <col min="15878" max="15878" width="31.7109375" style="1" bestFit="1" customWidth="1"/>
    <col min="15879" max="15879" width="10" style="1" customWidth="1"/>
    <col min="15880" max="15883" width="9.140625" style="1"/>
    <col min="15884" max="15884" width="10.85546875" style="1" customWidth="1"/>
    <col min="15885" max="15893" width="9.140625" style="1"/>
    <col min="15894" max="15894" width="10" style="1" bestFit="1" customWidth="1"/>
    <col min="15895" max="16130" width="9.140625" style="1"/>
    <col min="16131" max="16131" width="34.42578125" style="1" customWidth="1"/>
    <col min="16132" max="16132" width="9.140625" style="1"/>
    <col min="16133" max="16133" width="11.42578125" style="1" bestFit="1" customWidth="1"/>
    <col min="16134" max="16134" width="31.7109375" style="1" bestFit="1" customWidth="1"/>
    <col min="16135" max="16135" width="10" style="1" customWidth="1"/>
    <col min="16136" max="16139" width="9.140625" style="1"/>
    <col min="16140" max="16140" width="10.85546875" style="1" customWidth="1"/>
    <col min="16141" max="16149" width="9.140625" style="1"/>
    <col min="16150" max="16150" width="10" style="1" bestFit="1" customWidth="1"/>
    <col min="16151" max="16384" width="9.140625" style="1"/>
  </cols>
  <sheetData>
    <row r="1" spans="1:25" ht="16.5" thickBot="1" x14ac:dyDescent="0.3">
      <c r="A1" s="14" t="s">
        <v>1665</v>
      </c>
      <c r="B1" s="27"/>
      <c r="C1" s="27"/>
      <c r="D1" s="27"/>
      <c r="E1" s="27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5"/>
      <c r="X1" s="5" t="s">
        <v>100</v>
      </c>
      <c r="Y1" s="6" t="s">
        <v>1774</v>
      </c>
    </row>
    <row r="2" spans="1:25" ht="33.75" customHeight="1" x14ac:dyDescent="0.2">
      <c r="A2" s="755" t="s">
        <v>73</v>
      </c>
      <c r="B2" s="752" t="s">
        <v>72</v>
      </c>
      <c r="C2" s="752" t="s">
        <v>291</v>
      </c>
      <c r="D2" s="752" t="s">
        <v>292</v>
      </c>
      <c r="E2" s="752" t="s">
        <v>62</v>
      </c>
      <c r="F2" s="752" t="s">
        <v>61</v>
      </c>
      <c r="G2" s="752" t="s">
        <v>60</v>
      </c>
      <c r="H2" s="752" t="s">
        <v>98</v>
      </c>
      <c r="I2" s="752" t="s">
        <v>97</v>
      </c>
      <c r="J2" s="754" t="s">
        <v>71</v>
      </c>
      <c r="K2" s="754"/>
      <c r="L2" s="752" t="s">
        <v>59</v>
      </c>
      <c r="M2" s="752" t="s">
        <v>57</v>
      </c>
      <c r="N2" s="752" t="s">
        <v>56</v>
      </c>
      <c r="O2" s="752" t="s">
        <v>103</v>
      </c>
      <c r="P2" s="752" t="s">
        <v>104</v>
      </c>
      <c r="Q2" s="752" t="s">
        <v>105</v>
      </c>
      <c r="R2" s="752" t="s">
        <v>106</v>
      </c>
      <c r="S2" s="752" t="s">
        <v>107</v>
      </c>
      <c r="T2" s="752" t="s">
        <v>108</v>
      </c>
      <c r="U2" s="752" t="s">
        <v>109</v>
      </c>
      <c r="V2" s="752" t="s">
        <v>110</v>
      </c>
      <c r="W2" s="752" t="s">
        <v>1744</v>
      </c>
      <c r="X2" s="750" t="s">
        <v>1745</v>
      </c>
      <c r="Y2" s="750" t="s">
        <v>1746</v>
      </c>
    </row>
    <row r="3" spans="1:25" ht="33.75" customHeight="1" thickBot="1" x14ac:dyDescent="0.25">
      <c r="A3" s="756"/>
      <c r="B3" s="753"/>
      <c r="C3" s="753"/>
      <c r="D3" s="753"/>
      <c r="E3" s="753"/>
      <c r="F3" s="753"/>
      <c r="G3" s="753"/>
      <c r="H3" s="753"/>
      <c r="I3" s="753"/>
      <c r="J3" s="16" t="s">
        <v>124</v>
      </c>
      <c r="K3" s="81" t="s">
        <v>58</v>
      </c>
      <c r="L3" s="753"/>
      <c r="M3" s="753"/>
      <c r="N3" s="753"/>
      <c r="O3" s="753"/>
      <c r="P3" s="753"/>
      <c r="Q3" s="753"/>
      <c r="R3" s="753"/>
      <c r="S3" s="753"/>
      <c r="T3" s="753"/>
      <c r="U3" s="753"/>
      <c r="V3" s="753"/>
      <c r="W3" s="753"/>
      <c r="X3" s="751"/>
      <c r="Y3" s="751"/>
    </row>
    <row r="4" spans="1:25" x14ac:dyDescent="0.2">
      <c r="A4" s="89"/>
      <c r="B4" s="17"/>
      <c r="C4" s="17"/>
      <c r="D4" s="17"/>
      <c r="E4" s="17"/>
      <c r="F4" s="17"/>
      <c r="G4" s="17"/>
      <c r="H4" s="17"/>
      <c r="I4" s="17"/>
      <c r="J4" s="31">
        <f>SUM(J6:J27)</f>
        <v>414.72999999999996</v>
      </c>
      <c r="K4" s="31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8">
        <f>SUM(W6:W27)</f>
        <v>0</v>
      </c>
      <c r="X4" s="90">
        <f>SUM(X6:X27)</f>
        <v>0</v>
      </c>
      <c r="Y4" s="90">
        <f>SUM(Y6:Y27)</f>
        <v>0</v>
      </c>
    </row>
    <row r="5" spans="1:25" x14ac:dyDescent="0.2">
      <c r="A5" s="112"/>
      <c r="B5" s="113"/>
      <c r="C5" s="113"/>
      <c r="D5" s="113"/>
      <c r="E5" s="113"/>
      <c r="F5" s="113"/>
      <c r="G5" s="113"/>
      <c r="H5" s="113"/>
      <c r="I5" s="113"/>
      <c r="J5" s="114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4"/>
      <c r="X5" s="115"/>
      <c r="Y5" s="115"/>
    </row>
    <row r="6" spans="1:25" x14ac:dyDescent="0.2">
      <c r="A6" s="179" t="s">
        <v>63</v>
      </c>
      <c r="B6" s="180" t="s">
        <v>369</v>
      </c>
      <c r="C6" s="180" t="s">
        <v>63</v>
      </c>
      <c r="D6" s="139" t="str">
        <f>VLOOKUP(C6,'Seznam HS - nemaš'!$A$1:$B$96,2,FALSE)</f>
        <v>409400</v>
      </c>
      <c r="E6" s="181">
        <v>101</v>
      </c>
      <c r="F6" s="182" t="s">
        <v>370</v>
      </c>
      <c r="G6" s="183"/>
      <c r="H6" s="184">
        <f>+IF(ISBLANK(I6),0,VLOOKUP(I6,'8Příloha_2_ceník_pravid_úklid'!$B$9:$C$30,2,0))</f>
        <v>6</v>
      </c>
      <c r="I6" s="185" t="s">
        <v>1</v>
      </c>
      <c r="J6" s="186">
        <v>96.5</v>
      </c>
      <c r="K6" s="185" t="s">
        <v>51</v>
      </c>
      <c r="L6" s="185" t="s">
        <v>21</v>
      </c>
      <c r="M6" s="187" t="s">
        <v>371</v>
      </c>
      <c r="N6" s="146">
        <f>IF((VLOOKUP(I6,'8Příloha_2_ceník_pravid_úklid'!$B$9:$I$30,8,0))=0,VLOOKUP(I6,'8Příloha_2_ceník_pravid_úklid'!$B$9:$K$30,10,0),VLOOKUP(I6,'8Příloha_2_ceník_pravid_úklid'!$B$9:$I$30,8,0))</f>
        <v>0</v>
      </c>
      <c r="O6" s="20">
        <v>1</v>
      </c>
      <c r="P6" s="20">
        <v>1</v>
      </c>
      <c r="Q6" s="20">
        <v>0</v>
      </c>
      <c r="R6" s="20">
        <v>0</v>
      </c>
      <c r="S6" s="26">
        <f>NETWORKDAYS.INTL(DATE(2018,1,1),DATE(2018,12,31),1,{"2018/1/1";"2018/3/30";"2018/4/2";"2018/5/1";"2018/5/8";"2018/7/5";"2018/7/6";"2018/09/28";"2018/11/17";"2018/12/24";"2018/12/25";"2018/12/26"})</f>
        <v>250</v>
      </c>
      <c r="T6" s="26">
        <f>U6-S6</f>
        <v>115</v>
      </c>
      <c r="U6" s="26">
        <f>_xlfn.DAYS("1.1.2019","1.1.2018")</f>
        <v>365</v>
      </c>
      <c r="V6" s="188">
        <f>ROUND(O6*P6*S6+Q6*R6*T6,2)</f>
        <v>250</v>
      </c>
      <c r="W6" s="140">
        <f>ROUND(IF(N6="neoceňuje se",+J6*0*V6,J6*N6*V6),2)</f>
        <v>0</v>
      </c>
      <c r="X6" s="189">
        <f>ROUND(W6*1.21,2)</f>
        <v>0</v>
      </c>
      <c r="Y6" s="189">
        <v>0</v>
      </c>
    </row>
    <row r="7" spans="1:25" x14ac:dyDescent="0.2">
      <c r="A7" s="190" t="s">
        <v>63</v>
      </c>
      <c r="B7" s="191" t="s">
        <v>369</v>
      </c>
      <c r="C7" s="180" t="s">
        <v>63</v>
      </c>
      <c r="D7" s="139" t="str">
        <f>VLOOKUP(C7,'Seznam HS - nemaš'!$A$1:$B$96,2,FALSE)</f>
        <v>409400</v>
      </c>
      <c r="E7" s="192">
        <v>109</v>
      </c>
      <c r="F7" s="193" t="s">
        <v>336</v>
      </c>
      <c r="G7" s="194"/>
      <c r="H7" s="184">
        <f>+IF(ISBLANK(I7),0,VLOOKUP(I7,'8Příloha_2_ceník_pravid_úklid'!$B$9:$C$30,2,0))</f>
        <v>8</v>
      </c>
      <c r="I7" s="146" t="s">
        <v>11</v>
      </c>
      <c r="J7" s="195">
        <v>9.49</v>
      </c>
      <c r="K7" s="146" t="s">
        <v>51</v>
      </c>
      <c r="L7" s="146" t="s">
        <v>21</v>
      </c>
      <c r="M7" s="196" t="s">
        <v>371</v>
      </c>
      <c r="N7" s="146">
        <f>IF((VLOOKUP(I7,'8Příloha_2_ceník_pravid_úklid'!$B$9:$I$30,8,0))=0,VLOOKUP(I7,'8Příloha_2_ceník_pravid_úklid'!$B$9:$K$30,10,0),VLOOKUP(I7,'8Příloha_2_ceník_pravid_úklid'!$B$9:$I$30,8,0))</f>
        <v>0</v>
      </c>
      <c r="O7" s="20">
        <v>1</v>
      </c>
      <c r="P7" s="20">
        <v>1</v>
      </c>
      <c r="Q7" s="20">
        <v>0</v>
      </c>
      <c r="R7" s="20">
        <v>0</v>
      </c>
      <c r="S7" s="21">
        <f>NETWORKDAYS.INTL(DATE(2018,1,1),DATE(2018,12,31),1,{"2018/1/1";"2018/3/30";"2018/4/2";"2018/5/1";"2018/5/8";"2018/7/5";"2018/7/6";"2018/09/28";"2018/11/17";"2018/12/24";"2018/12/25";"2018/12/26"})</f>
        <v>250</v>
      </c>
      <c r="T7" s="21">
        <f t="shared" ref="T7:T27" si="0">U7-S7</f>
        <v>115</v>
      </c>
      <c r="U7" s="21">
        <f t="shared" ref="U7:U27" si="1">_xlfn.DAYS("1.1.2019","1.1.2018")</f>
        <v>365</v>
      </c>
      <c r="V7" s="197">
        <f t="shared" ref="V7:V27" si="2">ROUND(O7*P7*S7+Q7*R7*T7,2)</f>
        <v>250</v>
      </c>
      <c r="W7" s="140">
        <f t="shared" ref="W7:W27" si="3">ROUND(IF(N7="neoceňuje se",+J7*0*V7,J7*N7*V7),2)</f>
        <v>0</v>
      </c>
      <c r="X7" s="189">
        <f t="shared" ref="X7:X27" si="4">ROUND(W7*1.21,2)</f>
        <v>0</v>
      </c>
      <c r="Y7" s="189">
        <v>0</v>
      </c>
    </row>
    <row r="8" spans="1:25" x14ac:dyDescent="0.2">
      <c r="A8" s="190" t="s">
        <v>63</v>
      </c>
      <c r="B8" s="191" t="s">
        <v>369</v>
      </c>
      <c r="C8" s="180" t="s">
        <v>63</v>
      </c>
      <c r="D8" s="139" t="str">
        <f>VLOOKUP(C8,'Seznam HS - nemaš'!$A$1:$B$96,2,FALSE)</f>
        <v>409400</v>
      </c>
      <c r="E8" s="192">
        <v>110</v>
      </c>
      <c r="F8" s="193" t="s">
        <v>372</v>
      </c>
      <c r="G8" s="194"/>
      <c r="H8" s="184">
        <f>+IF(ISBLANK(I8),0,VLOOKUP(I8,'8Příloha_2_ceník_pravid_úklid'!$B$9:$C$30,2,0))</f>
        <v>2</v>
      </c>
      <c r="I8" s="146" t="s">
        <v>2</v>
      </c>
      <c r="J8" s="195">
        <v>15.56</v>
      </c>
      <c r="K8" s="146" t="s">
        <v>51</v>
      </c>
      <c r="L8" s="198" t="s">
        <v>373</v>
      </c>
      <c r="M8" s="196" t="s">
        <v>371</v>
      </c>
      <c r="N8" s="146">
        <f>IF((VLOOKUP(I8,'8Příloha_2_ceník_pravid_úklid'!$B$9:$I$30,8,0))=0,VLOOKUP(I8,'8Příloha_2_ceník_pravid_úklid'!$B$9:$K$30,10,0),VLOOKUP(I8,'8Příloha_2_ceník_pravid_úklid'!$B$9:$I$30,8,0))</f>
        <v>0</v>
      </c>
      <c r="O8" s="20">
        <v>1</v>
      </c>
      <c r="P8" s="20">
        <f>3/5</f>
        <v>0.6</v>
      </c>
      <c r="Q8" s="20">
        <v>0</v>
      </c>
      <c r="R8" s="20">
        <v>0</v>
      </c>
      <c r="S8" s="21">
        <f>NETWORKDAYS.INTL(DATE(2018,1,1),DATE(2018,12,31),1,{"2018/1/1";"2018/3/30";"2018/4/2";"2018/5/1";"2018/5/8";"2018/7/5";"2018/7/6";"2018/09/28";"2018/11/17";"2018/12/24";"2018/12/25";"2018/12/26"})</f>
        <v>250</v>
      </c>
      <c r="T8" s="21">
        <f t="shared" si="0"/>
        <v>115</v>
      </c>
      <c r="U8" s="21">
        <f t="shared" si="1"/>
        <v>365</v>
      </c>
      <c r="V8" s="197">
        <f t="shared" si="2"/>
        <v>150</v>
      </c>
      <c r="W8" s="140">
        <f t="shared" si="3"/>
        <v>0</v>
      </c>
      <c r="X8" s="189">
        <f t="shared" si="4"/>
        <v>0</v>
      </c>
      <c r="Y8" s="189">
        <v>0</v>
      </c>
    </row>
    <row r="9" spans="1:25" x14ac:dyDescent="0.2">
      <c r="A9" s="190" t="s">
        <v>63</v>
      </c>
      <c r="B9" s="191" t="s">
        <v>369</v>
      </c>
      <c r="C9" s="180" t="s">
        <v>63</v>
      </c>
      <c r="D9" s="139" t="str">
        <f>VLOOKUP(C9,'Seznam HS - nemaš'!$A$1:$B$96,2,FALSE)</f>
        <v>409400</v>
      </c>
      <c r="E9" s="192">
        <v>111</v>
      </c>
      <c r="F9" s="193" t="s">
        <v>374</v>
      </c>
      <c r="G9" s="194"/>
      <c r="H9" s="184">
        <f>+IF(ISBLANK(I9),0,VLOOKUP(I9,'8Příloha_2_ceník_pravid_úklid'!$B$9:$C$30,2,0))</f>
        <v>2</v>
      </c>
      <c r="I9" s="146" t="s">
        <v>2</v>
      </c>
      <c r="J9" s="195">
        <v>15.86</v>
      </c>
      <c r="K9" s="146" t="s">
        <v>51</v>
      </c>
      <c r="L9" s="146" t="s">
        <v>21</v>
      </c>
      <c r="M9" s="196" t="s">
        <v>371</v>
      </c>
      <c r="N9" s="146">
        <f>IF((VLOOKUP(I9,'8Příloha_2_ceník_pravid_úklid'!$B$9:$I$30,8,0))=0,VLOOKUP(I9,'8Příloha_2_ceník_pravid_úklid'!$B$9:$K$30,10,0),VLOOKUP(I9,'8Příloha_2_ceník_pravid_úklid'!$B$9:$I$30,8,0))</f>
        <v>0</v>
      </c>
      <c r="O9" s="20">
        <v>1</v>
      </c>
      <c r="P9" s="20">
        <v>1</v>
      </c>
      <c r="Q9" s="20">
        <v>0</v>
      </c>
      <c r="R9" s="20">
        <v>0</v>
      </c>
      <c r="S9" s="21">
        <f>NETWORKDAYS.INTL(DATE(2018,1,1),DATE(2018,12,31),1,{"2018/1/1";"2018/3/30";"2018/4/2";"2018/5/1";"2018/5/8";"2018/7/5";"2018/7/6";"2018/09/28";"2018/11/17";"2018/12/24";"2018/12/25";"2018/12/26"})</f>
        <v>250</v>
      </c>
      <c r="T9" s="21">
        <f t="shared" si="0"/>
        <v>115</v>
      </c>
      <c r="U9" s="21">
        <f t="shared" si="1"/>
        <v>365</v>
      </c>
      <c r="V9" s="197">
        <f t="shared" si="2"/>
        <v>250</v>
      </c>
      <c r="W9" s="140">
        <f t="shared" si="3"/>
        <v>0</v>
      </c>
      <c r="X9" s="189">
        <f t="shared" si="4"/>
        <v>0</v>
      </c>
      <c r="Y9" s="189">
        <v>0</v>
      </c>
    </row>
    <row r="10" spans="1:25" x14ac:dyDescent="0.2">
      <c r="A10" s="190" t="s">
        <v>63</v>
      </c>
      <c r="B10" s="191" t="s">
        <v>369</v>
      </c>
      <c r="C10" s="180" t="s">
        <v>63</v>
      </c>
      <c r="D10" s="139" t="str">
        <f>VLOOKUP(C10,'Seznam HS - nemaš'!$A$1:$B$96,2,FALSE)</f>
        <v>409400</v>
      </c>
      <c r="E10" s="192">
        <v>112</v>
      </c>
      <c r="F10" s="193" t="s">
        <v>375</v>
      </c>
      <c r="G10" s="194"/>
      <c r="H10" s="184">
        <f>+IF(ISBLANK(I10),0,VLOOKUP(I10,'8Příloha_2_ceník_pravid_úklid'!$B$9:$C$30,2,0))</f>
        <v>2</v>
      </c>
      <c r="I10" s="146" t="s">
        <v>2</v>
      </c>
      <c r="J10" s="195">
        <v>19.52</v>
      </c>
      <c r="K10" s="146" t="s">
        <v>51</v>
      </c>
      <c r="L10" s="146" t="s">
        <v>376</v>
      </c>
      <c r="M10" s="196" t="s">
        <v>371</v>
      </c>
      <c r="N10" s="146">
        <f>IF((VLOOKUP(I10,'8Příloha_2_ceník_pravid_úklid'!$B$9:$I$30,8,0))=0,VLOOKUP(I10,'8Příloha_2_ceník_pravid_úklid'!$B$9:$K$30,10,0),VLOOKUP(I10,'8Příloha_2_ceník_pravid_úklid'!$B$9:$I$30,8,0))</f>
        <v>0</v>
      </c>
      <c r="O10" s="20">
        <v>1</v>
      </c>
      <c r="P10" s="20">
        <f>2/5</f>
        <v>0.4</v>
      </c>
      <c r="Q10" s="20">
        <v>0</v>
      </c>
      <c r="R10" s="20">
        <v>0</v>
      </c>
      <c r="S10" s="21">
        <f>NETWORKDAYS.INTL(DATE(2018,1,1),DATE(2018,12,31),1,{"2018/1/1";"2018/3/30";"2018/4/2";"2018/5/1";"2018/5/8";"2018/7/5";"2018/7/6";"2018/09/28";"2018/11/17";"2018/12/24";"2018/12/25";"2018/12/26"})</f>
        <v>250</v>
      </c>
      <c r="T10" s="21">
        <f t="shared" si="0"/>
        <v>115</v>
      </c>
      <c r="U10" s="21">
        <f t="shared" si="1"/>
        <v>365</v>
      </c>
      <c r="V10" s="197">
        <f t="shared" si="2"/>
        <v>100</v>
      </c>
      <c r="W10" s="140">
        <f t="shared" si="3"/>
        <v>0</v>
      </c>
      <c r="X10" s="189">
        <f t="shared" si="4"/>
        <v>0</v>
      </c>
      <c r="Y10" s="189">
        <v>0</v>
      </c>
    </row>
    <row r="11" spans="1:25" x14ac:dyDescent="0.2">
      <c r="A11" s="190" t="s">
        <v>63</v>
      </c>
      <c r="B11" s="191" t="s">
        <v>369</v>
      </c>
      <c r="C11" s="180" t="s">
        <v>63</v>
      </c>
      <c r="D11" s="139" t="str">
        <f>VLOOKUP(C11,'Seznam HS - nemaš'!$A$1:$B$96,2,FALSE)</f>
        <v>409400</v>
      </c>
      <c r="E11" s="192">
        <v>113</v>
      </c>
      <c r="F11" s="193" t="s">
        <v>377</v>
      </c>
      <c r="G11" s="194"/>
      <c r="H11" s="184">
        <f>+IF(ISBLANK(I11),0,VLOOKUP(I11,'8Příloha_2_ceník_pravid_úklid'!$B$9:$C$30,2,0))</f>
        <v>4</v>
      </c>
      <c r="I11" s="146" t="s">
        <v>9</v>
      </c>
      <c r="J11" s="195">
        <v>15</v>
      </c>
      <c r="K11" s="146" t="s">
        <v>51</v>
      </c>
      <c r="L11" s="198" t="s">
        <v>332</v>
      </c>
      <c r="M11" s="196" t="s">
        <v>371</v>
      </c>
      <c r="N11" s="146">
        <f>IF((VLOOKUP(I11,'8Příloha_2_ceník_pravid_úklid'!$B$9:$I$30,8,0))=0,VLOOKUP(I11,'8Příloha_2_ceník_pravid_úklid'!$B$9:$K$30,10,0),VLOOKUP(I11,'8Příloha_2_ceník_pravid_úklid'!$B$9:$I$30,8,0))</f>
        <v>0</v>
      </c>
      <c r="O11" s="20">
        <v>1</v>
      </c>
      <c r="P11" s="20">
        <f>1/5</f>
        <v>0.2</v>
      </c>
      <c r="Q11" s="20">
        <v>0</v>
      </c>
      <c r="R11" s="20">
        <v>0</v>
      </c>
      <c r="S11" s="21">
        <f>NETWORKDAYS.INTL(DATE(2018,1,1),DATE(2018,12,31),1,{"2018/1/1";"2018/3/30";"2018/4/2";"2018/5/1";"2018/5/8";"2018/7/5";"2018/7/6";"2018/09/28";"2018/11/17";"2018/12/24";"2018/12/25";"2018/12/26"})</f>
        <v>250</v>
      </c>
      <c r="T11" s="21">
        <f t="shared" si="0"/>
        <v>115</v>
      </c>
      <c r="U11" s="21">
        <f t="shared" si="1"/>
        <v>365</v>
      </c>
      <c r="V11" s="197">
        <f t="shared" si="2"/>
        <v>50</v>
      </c>
      <c r="W11" s="140">
        <f t="shared" si="3"/>
        <v>0</v>
      </c>
      <c r="X11" s="189">
        <f t="shared" si="4"/>
        <v>0</v>
      </c>
      <c r="Y11" s="189">
        <v>0</v>
      </c>
    </row>
    <row r="12" spans="1:25" x14ac:dyDescent="0.2">
      <c r="A12" s="190" t="s">
        <v>63</v>
      </c>
      <c r="B12" s="191" t="s">
        <v>369</v>
      </c>
      <c r="C12" s="180" t="s">
        <v>63</v>
      </c>
      <c r="D12" s="139" t="str">
        <f>VLOOKUP(C12,'Seznam HS - nemaš'!$A$1:$B$96,2,FALSE)</f>
        <v>409400</v>
      </c>
      <c r="E12" s="192">
        <v>114</v>
      </c>
      <c r="F12" s="193" t="s">
        <v>378</v>
      </c>
      <c r="G12" s="194"/>
      <c r="H12" s="184">
        <f>+IF(ISBLANK(I12),0,VLOOKUP(I12,'8Příloha_2_ceník_pravid_úklid'!$B$9:$C$30,2,0))</f>
        <v>4</v>
      </c>
      <c r="I12" s="146" t="s">
        <v>9</v>
      </c>
      <c r="J12" s="195">
        <v>12.91</v>
      </c>
      <c r="K12" s="146" t="s">
        <v>51</v>
      </c>
      <c r="L12" s="198" t="s">
        <v>373</v>
      </c>
      <c r="M12" s="196" t="s">
        <v>371</v>
      </c>
      <c r="N12" s="146">
        <f>IF((VLOOKUP(I12,'8Příloha_2_ceník_pravid_úklid'!$B$9:$I$30,8,0))=0,VLOOKUP(I12,'8Příloha_2_ceník_pravid_úklid'!$B$9:$K$30,10,0),VLOOKUP(I12,'8Příloha_2_ceník_pravid_úklid'!$B$9:$I$30,8,0))</f>
        <v>0</v>
      </c>
      <c r="O12" s="20">
        <v>1</v>
      </c>
      <c r="P12" s="20">
        <f>3/5</f>
        <v>0.6</v>
      </c>
      <c r="Q12" s="20">
        <v>0</v>
      </c>
      <c r="R12" s="20">
        <v>0</v>
      </c>
      <c r="S12" s="21">
        <f>NETWORKDAYS.INTL(DATE(2018,1,1),DATE(2018,12,31),1,{"2018/1/1";"2018/3/30";"2018/4/2";"2018/5/1";"2018/5/8";"2018/7/5";"2018/7/6";"2018/09/28";"2018/11/17";"2018/12/24";"2018/12/25";"2018/12/26"})</f>
        <v>250</v>
      </c>
      <c r="T12" s="21">
        <f t="shared" si="0"/>
        <v>115</v>
      </c>
      <c r="U12" s="21">
        <f t="shared" si="1"/>
        <v>365</v>
      </c>
      <c r="V12" s="197">
        <f t="shared" si="2"/>
        <v>150</v>
      </c>
      <c r="W12" s="140">
        <f t="shared" si="3"/>
        <v>0</v>
      </c>
      <c r="X12" s="189">
        <f t="shared" si="4"/>
        <v>0</v>
      </c>
      <c r="Y12" s="189">
        <v>0</v>
      </c>
    </row>
    <row r="13" spans="1:25" x14ac:dyDescent="0.2">
      <c r="A13" s="190" t="s">
        <v>63</v>
      </c>
      <c r="B13" s="191" t="s">
        <v>369</v>
      </c>
      <c r="C13" s="180" t="s">
        <v>63</v>
      </c>
      <c r="D13" s="139" t="str">
        <f>VLOOKUP(C13,'Seznam HS - nemaš'!$A$1:$B$96,2,FALSE)</f>
        <v>409400</v>
      </c>
      <c r="E13" s="192">
        <v>115</v>
      </c>
      <c r="F13" s="193" t="s">
        <v>379</v>
      </c>
      <c r="G13" s="194"/>
      <c r="H13" s="184">
        <f>+IF(ISBLANK(I13),0,VLOOKUP(I13,'8Příloha_2_ceník_pravid_úklid'!$B$9:$C$30,2,0))</f>
        <v>4</v>
      </c>
      <c r="I13" s="146" t="s">
        <v>9</v>
      </c>
      <c r="J13" s="195">
        <v>13.35</v>
      </c>
      <c r="K13" s="146" t="s">
        <v>51</v>
      </c>
      <c r="L13" s="146" t="s">
        <v>21</v>
      </c>
      <c r="M13" s="196" t="s">
        <v>371</v>
      </c>
      <c r="N13" s="146">
        <f>IF((VLOOKUP(I13,'8Příloha_2_ceník_pravid_úklid'!$B$9:$I$30,8,0))=0,VLOOKUP(I13,'8Příloha_2_ceník_pravid_úklid'!$B$9:$K$30,10,0),VLOOKUP(I13,'8Příloha_2_ceník_pravid_úklid'!$B$9:$I$30,8,0))</f>
        <v>0</v>
      </c>
      <c r="O13" s="20">
        <v>1</v>
      </c>
      <c r="P13" s="20">
        <v>1</v>
      </c>
      <c r="Q13" s="20">
        <v>0</v>
      </c>
      <c r="R13" s="20">
        <v>0</v>
      </c>
      <c r="S13" s="21">
        <f>NETWORKDAYS.INTL(DATE(2018,1,1),DATE(2018,12,31),1,{"2018/1/1";"2018/3/30";"2018/4/2";"2018/5/1";"2018/5/8";"2018/7/5";"2018/7/6";"2018/09/28";"2018/11/17";"2018/12/24";"2018/12/25";"2018/12/26"})</f>
        <v>250</v>
      </c>
      <c r="T13" s="21">
        <f t="shared" si="0"/>
        <v>115</v>
      </c>
      <c r="U13" s="21">
        <f t="shared" si="1"/>
        <v>365</v>
      </c>
      <c r="V13" s="197">
        <f t="shared" si="2"/>
        <v>250</v>
      </c>
      <c r="W13" s="140">
        <f t="shared" si="3"/>
        <v>0</v>
      </c>
      <c r="X13" s="189">
        <f t="shared" si="4"/>
        <v>0</v>
      </c>
      <c r="Y13" s="189">
        <v>0</v>
      </c>
    </row>
    <row r="14" spans="1:25" x14ac:dyDescent="0.2">
      <c r="A14" s="190" t="s">
        <v>63</v>
      </c>
      <c r="B14" s="191" t="s">
        <v>369</v>
      </c>
      <c r="C14" s="180" t="s">
        <v>63</v>
      </c>
      <c r="D14" s="139" t="str">
        <f>VLOOKUP(C14,'Seznam HS - nemaš'!$A$1:$B$96,2,FALSE)</f>
        <v>409400</v>
      </c>
      <c r="E14" s="192">
        <v>116</v>
      </c>
      <c r="F14" s="199" t="s">
        <v>380</v>
      </c>
      <c r="G14" s="200"/>
      <c r="H14" s="184">
        <f>+IF(ISBLANK(I14),0,VLOOKUP(I14,'8Příloha_2_ceník_pravid_úklid'!$B$9:$C$30,2,0))</f>
        <v>2</v>
      </c>
      <c r="I14" s="146" t="s">
        <v>2</v>
      </c>
      <c r="J14" s="195">
        <v>18.600000000000001</v>
      </c>
      <c r="K14" s="146" t="s">
        <v>51</v>
      </c>
      <c r="L14" s="146" t="s">
        <v>21</v>
      </c>
      <c r="M14" s="196" t="s">
        <v>371</v>
      </c>
      <c r="N14" s="146">
        <f>IF((VLOOKUP(I14,'8Příloha_2_ceník_pravid_úklid'!$B$9:$I$30,8,0))=0,VLOOKUP(I14,'8Příloha_2_ceník_pravid_úklid'!$B$9:$K$30,10,0),VLOOKUP(I14,'8Příloha_2_ceník_pravid_úklid'!$B$9:$I$30,8,0))</f>
        <v>0</v>
      </c>
      <c r="O14" s="20">
        <v>1</v>
      </c>
      <c r="P14" s="20">
        <v>1</v>
      </c>
      <c r="Q14" s="20">
        <v>0</v>
      </c>
      <c r="R14" s="20">
        <v>0</v>
      </c>
      <c r="S14" s="21">
        <f>NETWORKDAYS.INTL(DATE(2018,1,1),DATE(2018,12,31),1,{"2018/1/1";"2018/3/30";"2018/4/2";"2018/5/1";"2018/5/8";"2018/7/5";"2018/7/6";"2018/09/28";"2018/11/17";"2018/12/24";"2018/12/25";"2018/12/26"})</f>
        <v>250</v>
      </c>
      <c r="T14" s="21">
        <f t="shared" si="0"/>
        <v>115</v>
      </c>
      <c r="U14" s="21">
        <f t="shared" si="1"/>
        <v>365</v>
      </c>
      <c r="V14" s="197">
        <f t="shared" si="2"/>
        <v>250</v>
      </c>
      <c r="W14" s="140">
        <f t="shared" si="3"/>
        <v>0</v>
      </c>
      <c r="X14" s="189">
        <f t="shared" si="4"/>
        <v>0</v>
      </c>
      <c r="Y14" s="189">
        <v>0</v>
      </c>
    </row>
    <row r="15" spans="1:25" x14ac:dyDescent="0.2">
      <c r="A15" s="190" t="s">
        <v>63</v>
      </c>
      <c r="B15" s="191" t="s">
        <v>369</v>
      </c>
      <c r="C15" s="180" t="s">
        <v>63</v>
      </c>
      <c r="D15" s="139" t="str">
        <f>VLOOKUP(C15,'Seznam HS - nemaš'!$A$1:$B$96,2,FALSE)</f>
        <v>409400</v>
      </c>
      <c r="E15" s="192">
        <v>117</v>
      </c>
      <c r="F15" s="199" t="s">
        <v>381</v>
      </c>
      <c r="G15" s="200"/>
      <c r="H15" s="184">
        <f>+IF(ISBLANK(I15),0,VLOOKUP(I15,'8Příloha_2_ceník_pravid_úklid'!$B$9:$C$30,2,0))</f>
        <v>2</v>
      </c>
      <c r="I15" s="146" t="s">
        <v>2</v>
      </c>
      <c r="J15" s="195">
        <v>27.66</v>
      </c>
      <c r="K15" s="146" t="s">
        <v>51</v>
      </c>
      <c r="L15" s="146" t="s">
        <v>21</v>
      </c>
      <c r="M15" s="196" t="s">
        <v>371</v>
      </c>
      <c r="N15" s="146">
        <f>IF((VLOOKUP(I15,'8Příloha_2_ceník_pravid_úklid'!$B$9:$I$30,8,0))=0,VLOOKUP(I15,'8Příloha_2_ceník_pravid_úklid'!$B$9:$K$30,10,0),VLOOKUP(I15,'8Příloha_2_ceník_pravid_úklid'!$B$9:$I$30,8,0))</f>
        <v>0</v>
      </c>
      <c r="O15" s="20">
        <v>1</v>
      </c>
      <c r="P15" s="20">
        <v>1</v>
      </c>
      <c r="Q15" s="20">
        <v>0</v>
      </c>
      <c r="R15" s="20">
        <v>0</v>
      </c>
      <c r="S15" s="21">
        <f>NETWORKDAYS.INTL(DATE(2018,1,1),DATE(2018,12,31),1,{"2018/1/1";"2018/3/30";"2018/4/2";"2018/5/1";"2018/5/8";"2018/7/5";"2018/7/6";"2018/09/28";"2018/11/17";"2018/12/24";"2018/12/25";"2018/12/26"})</f>
        <v>250</v>
      </c>
      <c r="T15" s="21">
        <f t="shared" si="0"/>
        <v>115</v>
      </c>
      <c r="U15" s="21">
        <f t="shared" si="1"/>
        <v>365</v>
      </c>
      <c r="V15" s="197">
        <f t="shared" si="2"/>
        <v>250</v>
      </c>
      <c r="W15" s="140">
        <f t="shared" si="3"/>
        <v>0</v>
      </c>
      <c r="X15" s="189">
        <f t="shared" si="4"/>
        <v>0</v>
      </c>
      <c r="Y15" s="189">
        <v>0</v>
      </c>
    </row>
    <row r="16" spans="1:25" x14ac:dyDescent="0.2">
      <c r="A16" s="190" t="s">
        <v>63</v>
      </c>
      <c r="B16" s="191" t="s">
        <v>369</v>
      </c>
      <c r="C16" s="180" t="s">
        <v>63</v>
      </c>
      <c r="D16" s="139" t="str">
        <f>VLOOKUP(C16,'Seznam HS - nemaš'!$A$1:$B$96,2,FALSE)</f>
        <v>409400</v>
      </c>
      <c r="E16" s="192">
        <v>138</v>
      </c>
      <c r="F16" s="199" t="s">
        <v>382</v>
      </c>
      <c r="G16" s="200"/>
      <c r="H16" s="184">
        <f>+IF(ISBLANK(I16),0,VLOOKUP(I16,'8Příloha_2_ceník_pravid_úklid'!$B$9:$C$30,2,0))</f>
        <v>2</v>
      </c>
      <c r="I16" s="146" t="s">
        <v>2</v>
      </c>
      <c r="J16" s="195">
        <v>13.96</v>
      </c>
      <c r="K16" s="146" t="s">
        <v>51</v>
      </c>
      <c r="L16" s="146" t="s">
        <v>21</v>
      </c>
      <c r="M16" s="196" t="s">
        <v>371</v>
      </c>
      <c r="N16" s="146">
        <f>IF((VLOOKUP(I16,'8Příloha_2_ceník_pravid_úklid'!$B$9:$I$30,8,0))=0,VLOOKUP(I16,'8Příloha_2_ceník_pravid_úklid'!$B$9:$K$30,10,0),VLOOKUP(I16,'8Příloha_2_ceník_pravid_úklid'!$B$9:$I$30,8,0))</f>
        <v>0</v>
      </c>
      <c r="O16" s="20">
        <v>1</v>
      </c>
      <c r="P16" s="20">
        <v>1</v>
      </c>
      <c r="Q16" s="20">
        <v>0</v>
      </c>
      <c r="R16" s="20">
        <v>0</v>
      </c>
      <c r="S16" s="21">
        <f>NETWORKDAYS.INTL(DATE(2018,1,1),DATE(2018,12,31),1,{"2018/1/1";"2018/3/30";"2018/4/2";"2018/5/1";"2018/5/8";"2018/7/5";"2018/7/6";"2018/09/28";"2018/11/17";"2018/12/24";"2018/12/25";"2018/12/26"})</f>
        <v>250</v>
      </c>
      <c r="T16" s="21">
        <f t="shared" si="0"/>
        <v>115</v>
      </c>
      <c r="U16" s="21">
        <f t="shared" si="1"/>
        <v>365</v>
      </c>
      <c r="V16" s="197">
        <f t="shared" si="2"/>
        <v>250</v>
      </c>
      <c r="W16" s="140">
        <f t="shared" si="3"/>
        <v>0</v>
      </c>
      <c r="X16" s="189">
        <f t="shared" si="4"/>
        <v>0</v>
      </c>
      <c r="Y16" s="189">
        <v>0</v>
      </c>
    </row>
    <row r="17" spans="1:25" x14ac:dyDescent="0.2">
      <c r="A17" s="201" t="s">
        <v>63</v>
      </c>
      <c r="B17" s="202" t="s">
        <v>369</v>
      </c>
      <c r="C17" s="202" t="s">
        <v>63</v>
      </c>
      <c r="D17" s="212" t="str">
        <f>VLOOKUP(C17,'Seznam HS - nemaš'!$A$1:$B$96,2,FALSE)</f>
        <v>409400</v>
      </c>
      <c r="E17" s="203">
        <v>139</v>
      </c>
      <c r="F17" s="204" t="s">
        <v>383</v>
      </c>
      <c r="G17" s="205"/>
      <c r="H17" s="206">
        <f>+IF(ISBLANK(I17),0,VLOOKUP(I17,'8Příloha_2_ceník_pravid_úklid'!$B$9:$C$30,2,0))</f>
        <v>6</v>
      </c>
      <c r="I17" s="175" t="s">
        <v>1</v>
      </c>
      <c r="J17" s="207">
        <v>11.2</v>
      </c>
      <c r="K17" s="175" t="s">
        <v>51</v>
      </c>
      <c r="L17" s="175" t="s">
        <v>21</v>
      </c>
      <c r="M17" s="208" t="s">
        <v>371</v>
      </c>
      <c r="N17" s="175">
        <f>IF((VLOOKUP(I17,'8Příloha_2_ceník_pravid_úklid'!$B$9:$I$30,8,0))=0,VLOOKUP(I17,'8Příloha_2_ceník_pravid_úklid'!$B$9:$K$30,10,0),VLOOKUP(I17,'8Příloha_2_ceník_pravid_úklid'!$B$9:$I$30,8,0))</f>
        <v>0</v>
      </c>
      <c r="O17" s="166">
        <v>1</v>
      </c>
      <c r="P17" s="166">
        <v>1</v>
      </c>
      <c r="Q17" s="166">
        <v>0</v>
      </c>
      <c r="R17" s="166">
        <v>0</v>
      </c>
      <c r="S17" s="167">
        <f>NETWORKDAYS.INTL(DATE(2018,1,1),DATE(2018,12,31),1,{"2018/1/1";"2018/3/30";"2018/4/2";"2018/5/1";"2018/5/8";"2018/7/5";"2018/7/6";"2018/09/28";"2018/11/17";"2018/12/24";"2018/12/25";"2018/12/26"})</f>
        <v>250</v>
      </c>
      <c r="T17" s="167">
        <f t="shared" si="0"/>
        <v>115</v>
      </c>
      <c r="U17" s="167">
        <f t="shared" si="1"/>
        <v>365</v>
      </c>
      <c r="V17" s="209">
        <f t="shared" si="2"/>
        <v>250</v>
      </c>
      <c r="W17" s="169">
        <f t="shared" si="3"/>
        <v>0</v>
      </c>
      <c r="X17" s="210">
        <f t="shared" si="4"/>
        <v>0</v>
      </c>
      <c r="Y17" s="598">
        <v>0</v>
      </c>
    </row>
    <row r="18" spans="1:25" x14ac:dyDescent="0.2">
      <c r="A18" s="509" t="s">
        <v>314</v>
      </c>
      <c r="B18" s="510" t="s">
        <v>54</v>
      </c>
      <c r="C18" s="76" t="s">
        <v>1701</v>
      </c>
      <c r="D18" s="139" t="str">
        <f>VLOOKUP(C18,'Seznam HS - nemaš'!$A$1:$B$96,2,FALSE)</f>
        <v>487700</v>
      </c>
      <c r="E18" s="511">
        <v>119</v>
      </c>
      <c r="F18" s="512" t="s">
        <v>53</v>
      </c>
      <c r="G18" s="513"/>
      <c r="H18" s="184">
        <f>+IF(ISBLANK(I18),0,VLOOKUP(I18,'8Příloha_2_ceník_pravid_úklid'!$B$9:$C$30,2,0))</f>
        <v>6</v>
      </c>
      <c r="I18" s="514" t="s">
        <v>1</v>
      </c>
      <c r="J18" s="515">
        <v>16.36</v>
      </c>
      <c r="K18" s="511" t="s">
        <v>64</v>
      </c>
      <c r="L18" s="516" t="s">
        <v>21</v>
      </c>
      <c r="M18" s="511" t="s">
        <v>49</v>
      </c>
      <c r="N18" s="185">
        <f>IF((VLOOKUP(I18,'8Příloha_2_ceník_pravid_úklid'!$B$9:$I$30,8,0))=0,VLOOKUP(I18,'8Příloha_2_ceník_pravid_úklid'!$B$9:$K$30,10,0),VLOOKUP(I18,'8Příloha_2_ceník_pravid_úklid'!$B$9:$I$30,8,0))</f>
        <v>0</v>
      </c>
      <c r="O18" s="517">
        <v>1</v>
      </c>
      <c r="P18" s="517">
        <v>1</v>
      </c>
      <c r="Q18" s="517">
        <v>0</v>
      </c>
      <c r="R18" s="517">
        <v>0</v>
      </c>
      <c r="S18" s="518">
        <f>NETWORKDAYS.INTL(DATE(2018,1,1),DATE(2018,12,31),1,{"2018/1/1";"2018/3/30";"2018/4/2";"2018/5/1";"2018/5/8";"2018/7/5";"2018/7/6";"2018/09/28";"2018/11/17";"2018/12/24";"2018/12/25";"2018/12/26"})</f>
        <v>250</v>
      </c>
      <c r="T18" s="518">
        <f t="shared" si="0"/>
        <v>115</v>
      </c>
      <c r="U18" s="518">
        <f t="shared" si="1"/>
        <v>365</v>
      </c>
      <c r="V18" s="519">
        <f t="shared" si="2"/>
        <v>250</v>
      </c>
      <c r="W18" s="606">
        <f t="shared" si="3"/>
        <v>0</v>
      </c>
      <c r="X18" s="607">
        <f t="shared" si="4"/>
        <v>0</v>
      </c>
      <c r="Y18" s="607">
        <v>0</v>
      </c>
    </row>
    <row r="19" spans="1:25" x14ac:dyDescent="0.2">
      <c r="A19" s="520" t="s">
        <v>314</v>
      </c>
      <c r="B19" s="76" t="s">
        <v>54</v>
      </c>
      <c r="C19" s="76" t="s">
        <v>1701</v>
      </c>
      <c r="D19" s="139" t="str">
        <f>VLOOKUP(C19,'Seznam HS - nemaš'!$A$1:$B$96,2,FALSE)</f>
        <v>487700</v>
      </c>
      <c r="E19" s="75">
        <v>120</v>
      </c>
      <c r="F19" s="110" t="s">
        <v>317</v>
      </c>
      <c r="G19" s="74"/>
      <c r="H19" s="184">
        <f>+IF(ISBLANK(I19),0,VLOOKUP(I19,'8Příloha_2_ceník_pravid_úklid'!$B$9:$C$30,2,0))</f>
        <v>4</v>
      </c>
      <c r="I19" s="80" t="s">
        <v>9</v>
      </c>
      <c r="J19" s="111">
        <v>27</v>
      </c>
      <c r="K19" s="75" t="s">
        <v>50</v>
      </c>
      <c r="L19" s="211" t="s">
        <v>21</v>
      </c>
      <c r="M19" s="75" t="s">
        <v>49</v>
      </c>
      <c r="N19" s="146">
        <f>IF((VLOOKUP(I19,'8Příloha_2_ceník_pravid_úklid'!$B$9:$I$30,8,0))=0,VLOOKUP(I19,'8Příloha_2_ceník_pravid_úklid'!$B$9:$K$30,10,0),VLOOKUP(I19,'8Příloha_2_ceník_pravid_úklid'!$B$9:$I$30,8,0))</f>
        <v>0</v>
      </c>
      <c r="O19" s="73">
        <v>1</v>
      </c>
      <c r="P19" s="73">
        <v>1</v>
      </c>
      <c r="Q19" s="73">
        <v>0</v>
      </c>
      <c r="R19" s="73">
        <v>0</v>
      </c>
      <c r="S19" s="77">
        <f>NETWORKDAYS.INTL(DATE(2018,1,1),DATE(2018,12,31),1,{"2018/1/1";"2018/3/30";"2018/4/2";"2018/5/1";"2018/5/8";"2018/7/5";"2018/7/6";"2018/09/28";"2018/11/17";"2018/12/24";"2018/12/25";"2018/12/26"})</f>
        <v>250</v>
      </c>
      <c r="T19" s="77">
        <f t="shared" si="0"/>
        <v>115</v>
      </c>
      <c r="U19" s="77">
        <f t="shared" si="1"/>
        <v>365</v>
      </c>
      <c r="V19" s="72">
        <f t="shared" si="2"/>
        <v>250</v>
      </c>
      <c r="W19" s="608">
        <f t="shared" si="3"/>
        <v>0</v>
      </c>
      <c r="X19" s="609">
        <f t="shared" si="4"/>
        <v>0</v>
      </c>
      <c r="Y19" s="609">
        <v>0</v>
      </c>
    </row>
    <row r="20" spans="1:25" x14ac:dyDescent="0.2">
      <c r="A20" s="520" t="s">
        <v>314</v>
      </c>
      <c r="B20" s="76" t="s">
        <v>54</v>
      </c>
      <c r="C20" s="76" t="s">
        <v>1701</v>
      </c>
      <c r="D20" s="139" t="str">
        <f>VLOOKUP(C20,'Seznam HS - nemaš'!$A$1:$B$96,2,FALSE)</f>
        <v>487700</v>
      </c>
      <c r="E20" s="75">
        <v>121</v>
      </c>
      <c r="F20" s="110" t="s">
        <v>318</v>
      </c>
      <c r="G20" s="74"/>
      <c r="H20" s="184">
        <f>+IF(ISBLANK(I20),0,VLOOKUP(I20,'8Příloha_2_ceník_pravid_úklid'!$B$9:$C$30,2,0))</f>
        <v>4</v>
      </c>
      <c r="I20" s="80" t="s">
        <v>9</v>
      </c>
      <c r="J20" s="111">
        <v>20.100000000000001</v>
      </c>
      <c r="K20" s="75" t="s">
        <v>51</v>
      </c>
      <c r="L20" s="211" t="s">
        <v>21</v>
      </c>
      <c r="M20" s="75" t="s">
        <v>49</v>
      </c>
      <c r="N20" s="146">
        <f>IF((VLOOKUP(I20,'8Příloha_2_ceník_pravid_úklid'!$B$9:$I$30,8,0))=0,VLOOKUP(I20,'8Příloha_2_ceník_pravid_úklid'!$B$9:$K$30,10,0),VLOOKUP(I20,'8Příloha_2_ceník_pravid_úklid'!$B$9:$I$30,8,0))</f>
        <v>0</v>
      </c>
      <c r="O20" s="73">
        <v>1</v>
      </c>
      <c r="P20" s="73">
        <v>1</v>
      </c>
      <c r="Q20" s="73">
        <v>0</v>
      </c>
      <c r="R20" s="73">
        <v>0</v>
      </c>
      <c r="S20" s="77">
        <f>NETWORKDAYS.INTL(DATE(2018,1,1),DATE(2018,12,31),1,{"2018/1/1";"2018/3/30";"2018/4/2";"2018/5/1";"2018/5/8";"2018/7/5";"2018/7/6";"2018/09/28";"2018/11/17";"2018/12/24";"2018/12/25";"2018/12/26"})</f>
        <v>250</v>
      </c>
      <c r="T20" s="77">
        <f t="shared" si="0"/>
        <v>115</v>
      </c>
      <c r="U20" s="77">
        <f t="shared" si="1"/>
        <v>365</v>
      </c>
      <c r="V20" s="72">
        <f t="shared" si="2"/>
        <v>250</v>
      </c>
      <c r="W20" s="608">
        <f t="shared" si="3"/>
        <v>0</v>
      </c>
      <c r="X20" s="609">
        <f t="shared" si="4"/>
        <v>0</v>
      </c>
      <c r="Y20" s="609">
        <v>0</v>
      </c>
    </row>
    <row r="21" spans="1:25" x14ac:dyDescent="0.2">
      <c r="A21" s="520" t="s">
        <v>314</v>
      </c>
      <c r="B21" s="76" t="s">
        <v>54</v>
      </c>
      <c r="C21" s="76" t="s">
        <v>1701</v>
      </c>
      <c r="D21" s="139" t="str">
        <f>VLOOKUP(C21,'Seznam HS - nemaš'!$A$1:$B$96,2,FALSE)</f>
        <v>487700</v>
      </c>
      <c r="E21" s="75">
        <v>122</v>
      </c>
      <c r="F21" s="110" t="s">
        <v>53</v>
      </c>
      <c r="G21" s="74"/>
      <c r="H21" s="184">
        <f>+IF(ISBLANK(I21),0,VLOOKUP(I21,'8Příloha_2_ceník_pravid_úklid'!$B$9:$C$30,2,0))</f>
        <v>6</v>
      </c>
      <c r="I21" s="80" t="s">
        <v>1</v>
      </c>
      <c r="J21" s="111">
        <v>14.68</v>
      </c>
      <c r="K21" s="75" t="s">
        <v>64</v>
      </c>
      <c r="L21" s="211" t="s">
        <v>21</v>
      </c>
      <c r="M21" s="75" t="s">
        <v>49</v>
      </c>
      <c r="N21" s="146">
        <f>IF((VLOOKUP(I21,'8Příloha_2_ceník_pravid_úklid'!$B$9:$I$30,8,0))=0,VLOOKUP(I21,'8Příloha_2_ceník_pravid_úklid'!$B$9:$K$30,10,0),VLOOKUP(I21,'8Příloha_2_ceník_pravid_úklid'!$B$9:$I$30,8,0))</f>
        <v>0</v>
      </c>
      <c r="O21" s="73">
        <v>1</v>
      </c>
      <c r="P21" s="73">
        <v>1</v>
      </c>
      <c r="Q21" s="73">
        <v>0</v>
      </c>
      <c r="R21" s="73">
        <v>0</v>
      </c>
      <c r="S21" s="77">
        <f>NETWORKDAYS.INTL(DATE(2018,1,1),DATE(2018,12,31),1,{"2018/1/1";"2018/3/30";"2018/4/2";"2018/5/1";"2018/5/8";"2018/7/5";"2018/7/6";"2018/09/28";"2018/11/17";"2018/12/24";"2018/12/25";"2018/12/26"})</f>
        <v>250</v>
      </c>
      <c r="T21" s="77">
        <f t="shared" si="0"/>
        <v>115</v>
      </c>
      <c r="U21" s="77">
        <f t="shared" si="1"/>
        <v>365</v>
      </c>
      <c r="V21" s="72">
        <f t="shared" si="2"/>
        <v>250</v>
      </c>
      <c r="W21" s="608">
        <f t="shared" si="3"/>
        <v>0</v>
      </c>
      <c r="X21" s="609">
        <f t="shared" si="4"/>
        <v>0</v>
      </c>
      <c r="Y21" s="609">
        <v>0</v>
      </c>
    </row>
    <row r="22" spans="1:25" x14ac:dyDescent="0.2">
      <c r="A22" s="520" t="s">
        <v>314</v>
      </c>
      <c r="B22" s="76" t="s">
        <v>54</v>
      </c>
      <c r="C22" s="76" t="s">
        <v>1701</v>
      </c>
      <c r="D22" s="139" t="str">
        <f>VLOOKUP(C22,'Seznam HS - nemaš'!$A$1:$B$96,2,FALSE)</f>
        <v>487700</v>
      </c>
      <c r="E22" s="75" t="s">
        <v>316</v>
      </c>
      <c r="F22" s="110" t="s">
        <v>53</v>
      </c>
      <c r="G22" s="74"/>
      <c r="H22" s="184">
        <f>+IF(ISBLANK(I22),0,VLOOKUP(I22,'8Příloha_2_ceník_pravid_úklid'!$B$9:$C$30,2,0))</f>
        <v>6</v>
      </c>
      <c r="I22" s="80" t="s">
        <v>1</v>
      </c>
      <c r="J22" s="111">
        <v>3.7</v>
      </c>
      <c r="K22" s="75" t="s">
        <v>64</v>
      </c>
      <c r="L22" s="211" t="s">
        <v>21</v>
      </c>
      <c r="M22" s="75" t="s">
        <v>49</v>
      </c>
      <c r="N22" s="146">
        <f>IF((VLOOKUP(I22,'8Příloha_2_ceník_pravid_úklid'!$B$9:$I$30,8,0))=0,VLOOKUP(I22,'8Příloha_2_ceník_pravid_úklid'!$B$9:$K$30,10,0),VLOOKUP(I22,'8Příloha_2_ceník_pravid_úklid'!$B$9:$I$30,8,0))</f>
        <v>0</v>
      </c>
      <c r="O22" s="73">
        <v>1</v>
      </c>
      <c r="P22" s="73">
        <v>1</v>
      </c>
      <c r="Q22" s="73">
        <v>0</v>
      </c>
      <c r="R22" s="73">
        <v>0</v>
      </c>
      <c r="S22" s="77">
        <f>NETWORKDAYS.INTL(DATE(2018,1,1),DATE(2018,12,31),1,{"2018/1/1";"2018/3/30";"2018/4/2";"2018/5/1";"2018/5/8";"2018/7/5";"2018/7/6";"2018/09/28";"2018/11/17";"2018/12/24";"2018/12/25";"2018/12/26"})</f>
        <v>250</v>
      </c>
      <c r="T22" s="77">
        <f t="shared" si="0"/>
        <v>115</v>
      </c>
      <c r="U22" s="77">
        <f t="shared" si="1"/>
        <v>365</v>
      </c>
      <c r="V22" s="72">
        <f t="shared" si="2"/>
        <v>250</v>
      </c>
      <c r="W22" s="608">
        <f t="shared" si="3"/>
        <v>0</v>
      </c>
      <c r="X22" s="609">
        <f t="shared" si="4"/>
        <v>0</v>
      </c>
      <c r="Y22" s="609">
        <v>0</v>
      </c>
    </row>
    <row r="23" spans="1:25" x14ac:dyDescent="0.2">
      <c r="A23" s="520" t="s">
        <v>314</v>
      </c>
      <c r="B23" s="76" t="s">
        <v>54</v>
      </c>
      <c r="C23" s="76" t="s">
        <v>1701</v>
      </c>
      <c r="D23" s="139" t="str">
        <f>VLOOKUP(C23,'Seznam HS - nemaš'!$A$1:$B$96,2,FALSE)</f>
        <v>487700</v>
      </c>
      <c r="E23" s="75">
        <v>123</v>
      </c>
      <c r="F23" s="110" t="s">
        <v>323</v>
      </c>
      <c r="G23" s="74"/>
      <c r="H23" s="184">
        <f>+IF(ISBLANK(I23),0,VLOOKUP(I23,'8Příloha_2_ceník_pravid_úklid'!$B$9:$C$30,2,0))</f>
        <v>16</v>
      </c>
      <c r="I23" s="80" t="s">
        <v>6</v>
      </c>
      <c r="J23" s="111">
        <v>19.5</v>
      </c>
      <c r="K23" s="75" t="s">
        <v>51</v>
      </c>
      <c r="L23" s="211" t="s">
        <v>21</v>
      </c>
      <c r="M23" s="75" t="s">
        <v>49</v>
      </c>
      <c r="N23" s="146">
        <f>IF((VLOOKUP(I23,'8Příloha_2_ceník_pravid_úklid'!$B$9:$I$30,8,0))=0,VLOOKUP(I23,'8Příloha_2_ceník_pravid_úklid'!$B$9:$K$30,10,0),VLOOKUP(I23,'8Příloha_2_ceník_pravid_úklid'!$B$9:$I$30,8,0))</f>
        <v>0</v>
      </c>
      <c r="O23" s="73">
        <v>1</v>
      </c>
      <c r="P23" s="73">
        <f>2/5</f>
        <v>0.4</v>
      </c>
      <c r="Q23" s="73">
        <v>0</v>
      </c>
      <c r="R23" s="73">
        <v>0</v>
      </c>
      <c r="S23" s="77">
        <f>NETWORKDAYS.INTL(DATE(2018,1,1),DATE(2018,12,31),1,{"2018/1/1";"2018/3/30";"2018/4/2";"2018/5/1";"2018/5/8";"2018/7/5";"2018/7/6";"2018/09/28";"2018/11/17";"2018/12/24";"2018/12/25";"2018/12/26"})</f>
        <v>250</v>
      </c>
      <c r="T23" s="77">
        <f t="shared" si="0"/>
        <v>115</v>
      </c>
      <c r="U23" s="77">
        <f t="shared" si="1"/>
        <v>365</v>
      </c>
      <c r="V23" s="72">
        <f t="shared" si="2"/>
        <v>100</v>
      </c>
      <c r="W23" s="608">
        <f t="shared" si="3"/>
        <v>0</v>
      </c>
      <c r="X23" s="609">
        <f t="shared" si="4"/>
        <v>0</v>
      </c>
      <c r="Y23" s="609">
        <v>0</v>
      </c>
    </row>
    <row r="24" spans="1:25" x14ac:dyDescent="0.2">
      <c r="A24" s="520" t="s">
        <v>314</v>
      </c>
      <c r="B24" s="76" t="s">
        <v>54</v>
      </c>
      <c r="C24" s="76" t="s">
        <v>1701</v>
      </c>
      <c r="D24" s="139" t="str">
        <f>VLOOKUP(C24,'Seznam HS - nemaš'!$A$1:$B$96,2,FALSE)</f>
        <v>487700</v>
      </c>
      <c r="E24" s="75">
        <v>124</v>
      </c>
      <c r="F24" s="110" t="s">
        <v>319</v>
      </c>
      <c r="G24" s="74"/>
      <c r="H24" s="184">
        <f>+IF(ISBLANK(I24),0,VLOOKUP(I24,'8Příloha_2_ceník_pravid_úklid'!$B$9:$C$30,2,0))</f>
        <v>4</v>
      </c>
      <c r="I24" s="80" t="s">
        <v>9</v>
      </c>
      <c r="J24" s="111">
        <v>12.1</v>
      </c>
      <c r="K24" s="75" t="s">
        <v>51</v>
      </c>
      <c r="L24" s="211" t="s">
        <v>21</v>
      </c>
      <c r="M24" s="75" t="s">
        <v>49</v>
      </c>
      <c r="N24" s="146">
        <f>IF((VLOOKUP(I24,'8Příloha_2_ceník_pravid_úklid'!$B$9:$I$30,8,0))=0,VLOOKUP(I24,'8Příloha_2_ceník_pravid_úklid'!$B$9:$K$30,10,0),VLOOKUP(I24,'8Příloha_2_ceník_pravid_úklid'!$B$9:$I$30,8,0))</f>
        <v>0</v>
      </c>
      <c r="O24" s="73">
        <v>1</v>
      </c>
      <c r="P24" s="73">
        <v>1</v>
      </c>
      <c r="Q24" s="73">
        <v>0</v>
      </c>
      <c r="R24" s="73">
        <v>0</v>
      </c>
      <c r="S24" s="77">
        <f>NETWORKDAYS.INTL(DATE(2018,1,1),DATE(2018,12,31),1,{"2018/1/1";"2018/3/30";"2018/4/2";"2018/5/1";"2018/5/8";"2018/7/5";"2018/7/6";"2018/09/28";"2018/11/17";"2018/12/24";"2018/12/25";"2018/12/26"})</f>
        <v>250</v>
      </c>
      <c r="T24" s="77">
        <f t="shared" si="0"/>
        <v>115</v>
      </c>
      <c r="U24" s="77">
        <f t="shared" si="1"/>
        <v>365</v>
      </c>
      <c r="V24" s="72">
        <f t="shared" si="2"/>
        <v>250</v>
      </c>
      <c r="W24" s="608">
        <f t="shared" si="3"/>
        <v>0</v>
      </c>
      <c r="X24" s="609">
        <f t="shared" si="4"/>
        <v>0</v>
      </c>
      <c r="Y24" s="609">
        <v>0</v>
      </c>
    </row>
    <row r="25" spans="1:25" x14ac:dyDescent="0.2">
      <c r="A25" s="520" t="s">
        <v>314</v>
      </c>
      <c r="B25" s="76" t="s">
        <v>54</v>
      </c>
      <c r="C25" s="76" t="s">
        <v>1701</v>
      </c>
      <c r="D25" s="139" t="str">
        <f>VLOOKUP(C25,'Seznam HS - nemaš'!$A$1:$B$96,2,FALSE)</f>
        <v>487700</v>
      </c>
      <c r="E25" s="75">
        <v>125</v>
      </c>
      <c r="F25" s="110" t="s">
        <v>320</v>
      </c>
      <c r="G25" s="74"/>
      <c r="H25" s="184">
        <f>+IF(ISBLANK(I25),0,VLOOKUP(I25,'8Příloha_2_ceník_pravid_úklid'!$B$9:$C$30,2,0))</f>
        <v>10</v>
      </c>
      <c r="I25" s="80" t="s">
        <v>0</v>
      </c>
      <c r="J25" s="111">
        <v>19.2</v>
      </c>
      <c r="K25" s="75" t="s">
        <v>51</v>
      </c>
      <c r="L25" s="211" t="s">
        <v>325</v>
      </c>
      <c r="M25" s="75" t="s">
        <v>49</v>
      </c>
      <c r="N25" s="146">
        <f>IF((VLOOKUP(I25,'8Příloha_2_ceník_pravid_úklid'!$B$9:$I$30,8,0))=0,VLOOKUP(I25,'8Příloha_2_ceník_pravid_úklid'!$B$9:$K$30,10,0),VLOOKUP(I25,'8Příloha_2_ceník_pravid_úklid'!$B$9:$I$30,8,0))</f>
        <v>0</v>
      </c>
      <c r="O25" s="73">
        <v>1</v>
      </c>
      <c r="P25" s="73">
        <f>2/5</f>
        <v>0.4</v>
      </c>
      <c r="Q25" s="73">
        <v>0</v>
      </c>
      <c r="R25" s="73">
        <v>0</v>
      </c>
      <c r="S25" s="77">
        <f>NETWORKDAYS.INTL(DATE(2018,1,1),DATE(2018,12,31),1,{"2018/1/1";"2018/3/30";"2018/4/2";"2018/5/1";"2018/5/8";"2018/7/5";"2018/7/6";"2018/09/28";"2018/11/17";"2018/12/24";"2018/12/25";"2018/12/26"})</f>
        <v>250</v>
      </c>
      <c r="T25" s="77">
        <f t="shared" si="0"/>
        <v>115</v>
      </c>
      <c r="U25" s="77">
        <f t="shared" si="1"/>
        <v>365</v>
      </c>
      <c r="V25" s="72">
        <f t="shared" si="2"/>
        <v>100</v>
      </c>
      <c r="W25" s="608">
        <f t="shared" si="3"/>
        <v>0</v>
      </c>
      <c r="X25" s="609">
        <f t="shared" si="4"/>
        <v>0</v>
      </c>
      <c r="Y25" s="609">
        <v>0</v>
      </c>
    </row>
    <row r="26" spans="1:25" x14ac:dyDescent="0.2">
      <c r="A26" s="520" t="s">
        <v>314</v>
      </c>
      <c r="B26" s="76" t="s">
        <v>54</v>
      </c>
      <c r="C26" s="76" t="s">
        <v>1701</v>
      </c>
      <c r="D26" s="139" t="str">
        <f>VLOOKUP(C26,'Seznam HS - nemaš'!$A$1:$B$96,2,FALSE)</f>
        <v>487700</v>
      </c>
      <c r="E26" s="75">
        <v>126</v>
      </c>
      <c r="F26" s="110" t="s">
        <v>321</v>
      </c>
      <c r="G26" s="74"/>
      <c r="H26" s="184">
        <f>+IF(ISBLANK(I26),0,VLOOKUP(I26,'8Příloha_2_ceník_pravid_úklid'!$B$9:$C$30,2,0))</f>
        <v>10</v>
      </c>
      <c r="I26" s="80" t="s">
        <v>0</v>
      </c>
      <c r="J26" s="111">
        <v>8.08</v>
      </c>
      <c r="K26" s="75" t="s">
        <v>51</v>
      </c>
      <c r="L26" s="211" t="s">
        <v>325</v>
      </c>
      <c r="M26" s="75" t="s">
        <v>49</v>
      </c>
      <c r="N26" s="146">
        <f>IF((VLOOKUP(I26,'8Příloha_2_ceník_pravid_úklid'!$B$9:$I$30,8,0))=0,VLOOKUP(I26,'8Příloha_2_ceník_pravid_úklid'!$B$9:$K$30,10,0),VLOOKUP(I26,'8Příloha_2_ceník_pravid_úklid'!$B$9:$I$30,8,0))</f>
        <v>0</v>
      </c>
      <c r="O26" s="73">
        <v>1</v>
      </c>
      <c r="P26" s="73">
        <f>2/5</f>
        <v>0.4</v>
      </c>
      <c r="Q26" s="73">
        <v>0</v>
      </c>
      <c r="R26" s="73">
        <v>0</v>
      </c>
      <c r="S26" s="77">
        <f>NETWORKDAYS.INTL(DATE(2018,1,1),DATE(2018,12,31),1,{"2018/1/1";"2018/3/30";"2018/4/2";"2018/5/1";"2018/5/8";"2018/7/5";"2018/7/6";"2018/09/28";"2018/11/17";"2018/12/24";"2018/12/25";"2018/12/26"})</f>
        <v>250</v>
      </c>
      <c r="T26" s="77">
        <f t="shared" si="0"/>
        <v>115</v>
      </c>
      <c r="U26" s="77">
        <f t="shared" si="1"/>
        <v>365</v>
      </c>
      <c r="V26" s="72">
        <f t="shared" si="2"/>
        <v>100</v>
      </c>
      <c r="W26" s="608">
        <f t="shared" si="3"/>
        <v>0</v>
      </c>
      <c r="X26" s="609">
        <f t="shared" si="4"/>
        <v>0</v>
      </c>
      <c r="Y26" s="609">
        <v>0</v>
      </c>
    </row>
    <row r="27" spans="1:25" x14ac:dyDescent="0.2">
      <c r="A27" s="521" t="s">
        <v>314</v>
      </c>
      <c r="B27" s="522" t="s">
        <v>54</v>
      </c>
      <c r="C27" s="522" t="s">
        <v>1701</v>
      </c>
      <c r="D27" s="212" t="str">
        <f>VLOOKUP(C27,'Seznam HS - nemaš'!$A$1:$B$96,2,FALSE)</f>
        <v>487700</v>
      </c>
      <c r="E27" s="523">
        <v>127</v>
      </c>
      <c r="F27" s="524" t="s">
        <v>322</v>
      </c>
      <c r="G27" s="525"/>
      <c r="H27" s="206">
        <f>+IF(ISBLANK(I27),0,VLOOKUP(I27,'8Příloha_2_ceník_pravid_úklid'!$B$9:$C$30,2,0))</f>
        <v>7</v>
      </c>
      <c r="I27" s="526" t="s">
        <v>14</v>
      </c>
      <c r="J27" s="527">
        <v>4.4000000000000004</v>
      </c>
      <c r="K27" s="523" t="s">
        <v>50</v>
      </c>
      <c r="L27" s="528" t="s">
        <v>21</v>
      </c>
      <c r="M27" s="523" t="s">
        <v>49</v>
      </c>
      <c r="N27" s="175">
        <f>IF((VLOOKUP(I27,'8Příloha_2_ceník_pravid_úklid'!$B$9:$I$30,8,0))=0,VLOOKUP(I27,'8Příloha_2_ceník_pravid_úklid'!$B$9:$K$30,10,0),VLOOKUP(I27,'8Příloha_2_ceník_pravid_úklid'!$B$9:$I$30,8,0))</f>
        <v>0</v>
      </c>
      <c r="O27" s="529">
        <v>1</v>
      </c>
      <c r="P27" s="529">
        <v>1</v>
      </c>
      <c r="Q27" s="529">
        <v>0</v>
      </c>
      <c r="R27" s="529">
        <v>0</v>
      </c>
      <c r="S27" s="530">
        <f>NETWORKDAYS.INTL(DATE(2018,1,1),DATE(2018,12,31),1,{"2018/1/1";"2018/3/30";"2018/4/2";"2018/5/1";"2018/5/8";"2018/7/5";"2018/7/6";"2018/09/28";"2018/11/17";"2018/12/24";"2018/12/25";"2018/12/26"})</f>
        <v>250</v>
      </c>
      <c r="T27" s="530">
        <f t="shared" si="0"/>
        <v>115</v>
      </c>
      <c r="U27" s="530">
        <f t="shared" si="1"/>
        <v>365</v>
      </c>
      <c r="V27" s="531">
        <f t="shared" si="2"/>
        <v>250</v>
      </c>
      <c r="W27" s="610">
        <f t="shared" si="3"/>
        <v>0</v>
      </c>
      <c r="X27" s="611">
        <f t="shared" si="4"/>
        <v>0</v>
      </c>
      <c r="Y27" s="611">
        <v>0</v>
      </c>
    </row>
  </sheetData>
  <sheetProtection password="CA8C" sheet="1" objects="1" scenarios="1" formatCells="0" formatColumns="0" formatRows="0" autoFilter="0"/>
  <autoFilter ref="A5:X5"/>
  <mergeCells count="24">
    <mergeCell ref="Q2:Q3"/>
    <mergeCell ref="R2:R3"/>
    <mergeCell ref="S2:S3"/>
    <mergeCell ref="A2:A3"/>
    <mergeCell ref="B2:B3"/>
    <mergeCell ref="C2:C3"/>
    <mergeCell ref="D2:D3"/>
    <mergeCell ref="E2:E3"/>
    <mergeCell ref="Y2:Y3"/>
    <mergeCell ref="M2:M3"/>
    <mergeCell ref="T2:T3"/>
    <mergeCell ref="U2:U3"/>
    <mergeCell ref="F2:F3"/>
    <mergeCell ref="G2:G3"/>
    <mergeCell ref="H2:H3"/>
    <mergeCell ref="I2:I3"/>
    <mergeCell ref="J2:K2"/>
    <mergeCell ref="L2:L3"/>
    <mergeCell ref="V2:V3"/>
    <mergeCell ref="W2:W3"/>
    <mergeCell ref="X2:X3"/>
    <mergeCell ref="N2:N3"/>
    <mergeCell ref="O2:O3"/>
    <mergeCell ref="P2:P3"/>
  </mergeCells>
  <conditionalFormatting sqref="D6:D27">
    <cfRule type="cellIs" dxfId="44" priority="4" stopIfTrue="1" operator="equal">
      <formula>0</formula>
    </cfRule>
  </conditionalFormatting>
  <conditionalFormatting sqref="W2:X2">
    <cfRule type="cellIs" dxfId="43" priority="3" stopIfTrue="1" operator="equal">
      <formula>0</formula>
    </cfRule>
  </conditionalFormatting>
  <conditionalFormatting sqref="Y2">
    <cfRule type="cellIs" dxfId="42" priority="1" stopIfTrue="1" operator="equal">
      <formula>0</formula>
    </cfRule>
  </conditionalFormatting>
  <dataValidations disablePrompts="1" count="2">
    <dataValidation type="list" allowBlank="1" showInputMessage="1" showErrorMessage="1" sqref="C65550:C65551 IY65550:IY65551 SU65550:SU65551 ACQ65550:ACQ65551 AMM65550:AMM65551 AWI65550:AWI65551 BGE65550:BGE65551 BQA65550:BQA65551 BZW65550:BZW65551 CJS65550:CJS65551 CTO65550:CTO65551 DDK65550:DDK65551 DNG65550:DNG65551 DXC65550:DXC65551 EGY65550:EGY65551 EQU65550:EQU65551 FAQ65550:FAQ65551 FKM65550:FKM65551 FUI65550:FUI65551 GEE65550:GEE65551 GOA65550:GOA65551 GXW65550:GXW65551 HHS65550:HHS65551 HRO65550:HRO65551 IBK65550:IBK65551 ILG65550:ILG65551 IVC65550:IVC65551 JEY65550:JEY65551 JOU65550:JOU65551 JYQ65550:JYQ65551 KIM65550:KIM65551 KSI65550:KSI65551 LCE65550:LCE65551 LMA65550:LMA65551 LVW65550:LVW65551 MFS65550:MFS65551 MPO65550:MPO65551 MZK65550:MZK65551 NJG65550:NJG65551 NTC65550:NTC65551 OCY65550:OCY65551 OMU65550:OMU65551 OWQ65550:OWQ65551 PGM65550:PGM65551 PQI65550:PQI65551 QAE65550:QAE65551 QKA65550:QKA65551 QTW65550:QTW65551 RDS65550:RDS65551 RNO65550:RNO65551 RXK65550:RXK65551 SHG65550:SHG65551 SRC65550:SRC65551 TAY65550:TAY65551 TKU65550:TKU65551 TUQ65550:TUQ65551 UEM65550:UEM65551 UOI65550:UOI65551 UYE65550:UYE65551 VIA65550:VIA65551 VRW65550:VRW65551 WBS65550:WBS65551 WLO65550:WLO65551 WVK65550:WVK65551 C131086:C131087 IY131086:IY131087 SU131086:SU131087 ACQ131086:ACQ131087 AMM131086:AMM131087 AWI131086:AWI131087 BGE131086:BGE131087 BQA131086:BQA131087 BZW131086:BZW131087 CJS131086:CJS131087 CTO131086:CTO131087 DDK131086:DDK131087 DNG131086:DNG131087 DXC131086:DXC131087 EGY131086:EGY131087 EQU131086:EQU131087 FAQ131086:FAQ131087 FKM131086:FKM131087 FUI131086:FUI131087 GEE131086:GEE131087 GOA131086:GOA131087 GXW131086:GXW131087 HHS131086:HHS131087 HRO131086:HRO131087 IBK131086:IBK131087 ILG131086:ILG131087 IVC131086:IVC131087 JEY131086:JEY131087 JOU131086:JOU131087 JYQ131086:JYQ131087 KIM131086:KIM131087 KSI131086:KSI131087 LCE131086:LCE131087 LMA131086:LMA131087 LVW131086:LVW131087 MFS131086:MFS131087 MPO131086:MPO131087 MZK131086:MZK131087 NJG131086:NJG131087 NTC131086:NTC131087 OCY131086:OCY131087 OMU131086:OMU131087 OWQ131086:OWQ131087 PGM131086:PGM131087 PQI131086:PQI131087 QAE131086:QAE131087 QKA131086:QKA131087 QTW131086:QTW131087 RDS131086:RDS131087 RNO131086:RNO131087 RXK131086:RXK131087 SHG131086:SHG131087 SRC131086:SRC131087 TAY131086:TAY131087 TKU131086:TKU131087 TUQ131086:TUQ131087 UEM131086:UEM131087 UOI131086:UOI131087 UYE131086:UYE131087 VIA131086:VIA131087 VRW131086:VRW131087 WBS131086:WBS131087 WLO131086:WLO131087 WVK131086:WVK131087 C196622:C196623 IY196622:IY196623 SU196622:SU196623 ACQ196622:ACQ196623 AMM196622:AMM196623 AWI196622:AWI196623 BGE196622:BGE196623 BQA196622:BQA196623 BZW196622:BZW196623 CJS196622:CJS196623 CTO196622:CTO196623 DDK196622:DDK196623 DNG196622:DNG196623 DXC196622:DXC196623 EGY196622:EGY196623 EQU196622:EQU196623 FAQ196622:FAQ196623 FKM196622:FKM196623 FUI196622:FUI196623 GEE196622:GEE196623 GOA196622:GOA196623 GXW196622:GXW196623 HHS196622:HHS196623 HRO196622:HRO196623 IBK196622:IBK196623 ILG196622:ILG196623 IVC196622:IVC196623 JEY196622:JEY196623 JOU196622:JOU196623 JYQ196622:JYQ196623 KIM196622:KIM196623 KSI196622:KSI196623 LCE196622:LCE196623 LMA196622:LMA196623 LVW196622:LVW196623 MFS196622:MFS196623 MPO196622:MPO196623 MZK196622:MZK196623 NJG196622:NJG196623 NTC196622:NTC196623 OCY196622:OCY196623 OMU196622:OMU196623 OWQ196622:OWQ196623 PGM196622:PGM196623 PQI196622:PQI196623 QAE196622:QAE196623 QKA196622:QKA196623 QTW196622:QTW196623 RDS196622:RDS196623 RNO196622:RNO196623 RXK196622:RXK196623 SHG196622:SHG196623 SRC196622:SRC196623 TAY196622:TAY196623 TKU196622:TKU196623 TUQ196622:TUQ196623 UEM196622:UEM196623 UOI196622:UOI196623 UYE196622:UYE196623 VIA196622:VIA196623 VRW196622:VRW196623 WBS196622:WBS196623 WLO196622:WLO196623 WVK196622:WVK196623 C262158:C262159 IY262158:IY262159 SU262158:SU262159 ACQ262158:ACQ262159 AMM262158:AMM262159 AWI262158:AWI262159 BGE262158:BGE262159 BQA262158:BQA262159 BZW262158:BZW262159 CJS262158:CJS262159 CTO262158:CTO262159 DDK262158:DDK262159 DNG262158:DNG262159 DXC262158:DXC262159 EGY262158:EGY262159 EQU262158:EQU262159 FAQ262158:FAQ262159 FKM262158:FKM262159 FUI262158:FUI262159 GEE262158:GEE262159 GOA262158:GOA262159 GXW262158:GXW262159 HHS262158:HHS262159 HRO262158:HRO262159 IBK262158:IBK262159 ILG262158:ILG262159 IVC262158:IVC262159 JEY262158:JEY262159 JOU262158:JOU262159 JYQ262158:JYQ262159 KIM262158:KIM262159 KSI262158:KSI262159 LCE262158:LCE262159 LMA262158:LMA262159 LVW262158:LVW262159 MFS262158:MFS262159 MPO262158:MPO262159 MZK262158:MZK262159 NJG262158:NJG262159 NTC262158:NTC262159 OCY262158:OCY262159 OMU262158:OMU262159 OWQ262158:OWQ262159 PGM262158:PGM262159 PQI262158:PQI262159 QAE262158:QAE262159 QKA262158:QKA262159 QTW262158:QTW262159 RDS262158:RDS262159 RNO262158:RNO262159 RXK262158:RXK262159 SHG262158:SHG262159 SRC262158:SRC262159 TAY262158:TAY262159 TKU262158:TKU262159 TUQ262158:TUQ262159 UEM262158:UEM262159 UOI262158:UOI262159 UYE262158:UYE262159 VIA262158:VIA262159 VRW262158:VRW262159 WBS262158:WBS262159 WLO262158:WLO262159 WVK262158:WVK262159 C327694:C327695 IY327694:IY327695 SU327694:SU327695 ACQ327694:ACQ327695 AMM327694:AMM327695 AWI327694:AWI327695 BGE327694:BGE327695 BQA327694:BQA327695 BZW327694:BZW327695 CJS327694:CJS327695 CTO327694:CTO327695 DDK327694:DDK327695 DNG327694:DNG327695 DXC327694:DXC327695 EGY327694:EGY327695 EQU327694:EQU327695 FAQ327694:FAQ327695 FKM327694:FKM327695 FUI327694:FUI327695 GEE327694:GEE327695 GOA327694:GOA327695 GXW327694:GXW327695 HHS327694:HHS327695 HRO327694:HRO327695 IBK327694:IBK327695 ILG327694:ILG327695 IVC327694:IVC327695 JEY327694:JEY327695 JOU327694:JOU327695 JYQ327694:JYQ327695 KIM327694:KIM327695 KSI327694:KSI327695 LCE327694:LCE327695 LMA327694:LMA327695 LVW327694:LVW327695 MFS327694:MFS327695 MPO327694:MPO327695 MZK327694:MZK327695 NJG327694:NJG327695 NTC327694:NTC327695 OCY327694:OCY327695 OMU327694:OMU327695 OWQ327694:OWQ327695 PGM327694:PGM327695 PQI327694:PQI327695 QAE327694:QAE327695 QKA327694:QKA327695 QTW327694:QTW327695 RDS327694:RDS327695 RNO327694:RNO327695 RXK327694:RXK327695 SHG327694:SHG327695 SRC327694:SRC327695 TAY327694:TAY327695 TKU327694:TKU327695 TUQ327694:TUQ327695 UEM327694:UEM327695 UOI327694:UOI327695 UYE327694:UYE327695 VIA327694:VIA327695 VRW327694:VRW327695 WBS327694:WBS327695 WLO327694:WLO327695 WVK327694:WVK327695 C393230:C393231 IY393230:IY393231 SU393230:SU393231 ACQ393230:ACQ393231 AMM393230:AMM393231 AWI393230:AWI393231 BGE393230:BGE393231 BQA393230:BQA393231 BZW393230:BZW393231 CJS393230:CJS393231 CTO393230:CTO393231 DDK393230:DDK393231 DNG393230:DNG393231 DXC393230:DXC393231 EGY393230:EGY393231 EQU393230:EQU393231 FAQ393230:FAQ393231 FKM393230:FKM393231 FUI393230:FUI393231 GEE393230:GEE393231 GOA393230:GOA393231 GXW393230:GXW393231 HHS393230:HHS393231 HRO393230:HRO393231 IBK393230:IBK393231 ILG393230:ILG393231 IVC393230:IVC393231 JEY393230:JEY393231 JOU393230:JOU393231 JYQ393230:JYQ393231 KIM393230:KIM393231 KSI393230:KSI393231 LCE393230:LCE393231 LMA393230:LMA393231 LVW393230:LVW393231 MFS393230:MFS393231 MPO393230:MPO393231 MZK393230:MZK393231 NJG393230:NJG393231 NTC393230:NTC393231 OCY393230:OCY393231 OMU393230:OMU393231 OWQ393230:OWQ393231 PGM393230:PGM393231 PQI393230:PQI393231 QAE393230:QAE393231 QKA393230:QKA393231 QTW393230:QTW393231 RDS393230:RDS393231 RNO393230:RNO393231 RXK393230:RXK393231 SHG393230:SHG393231 SRC393230:SRC393231 TAY393230:TAY393231 TKU393230:TKU393231 TUQ393230:TUQ393231 UEM393230:UEM393231 UOI393230:UOI393231 UYE393230:UYE393231 VIA393230:VIA393231 VRW393230:VRW393231 WBS393230:WBS393231 WLO393230:WLO393231 WVK393230:WVK393231 C458766:C458767 IY458766:IY458767 SU458766:SU458767 ACQ458766:ACQ458767 AMM458766:AMM458767 AWI458766:AWI458767 BGE458766:BGE458767 BQA458766:BQA458767 BZW458766:BZW458767 CJS458766:CJS458767 CTO458766:CTO458767 DDK458766:DDK458767 DNG458766:DNG458767 DXC458766:DXC458767 EGY458766:EGY458767 EQU458766:EQU458767 FAQ458766:FAQ458767 FKM458766:FKM458767 FUI458766:FUI458767 GEE458766:GEE458767 GOA458766:GOA458767 GXW458766:GXW458767 HHS458766:HHS458767 HRO458766:HRO458767 IBK458766:IBK458767 ILG458766:ILG458767 IVC458766:IVC458767 JEY458766:JEY458767 JOU458766:JOU458767 JYQ458766:JYQ458767 KIM458766:KIM458767 KSI458766:KSI458767 LCE458766:LCE458767 LMA458766:LMA458767 LVW458766:LVW458767 MFS458766:MFS458767 MPO458766:MPO458767 MZK458766:MZK458767 NJG458766:NJG458767 NTC458766:NTC458767 OCY458766:OCY458767 OMU458766:OMU458767 OWQ458766:OWQ458767 PGM458766:PGM458767 PQI458766:PQI458767 QAE458766:QAE458767 QKA458766:QKA458767 QTW458766:QTW458767 RDS458766:RDS458767 RNO458766:RNO458767 RXK458766:RXK458767 SHG458766:SHG458767 SRC458766:SRC458767 TAY458766:TAY458767 TKU458766:TKU458767 TUQ458766:TUQ458767 UEM458766:UEM458767 UOI458766:UOI458767 UYE458766:UYE458767 VIA458766:VIA458767 VRW458766:VRW458767 WBS458766:WBS458767 WLO458766:WLO458767 WVK458766:WVK458767 C524302:C524303 IY524302:IY524303 SU524302:SU524303 ACQ524302:ACQ524303 AMM524302:AMM524303 AWI524302:AWI524303 BGE524302:BGE524303 BQA524302:BQA524303 BZW524302:BZW524303 CJS524302:CJS524303 CTO524302:CTO524303 DDK524302:DDK524303 DNG524302:DNG524303 DXC524302:DXC524303 EGY524302:EGY524303 EQU524302:EQU524303 FAQ524302:FAQ524303 FKM524302:FKM524303 FUI524302:FUI524303 GEE524302:GEE524303 GOA524302:GOA524303 GXW524302:GXW524303 HHS524302:HHS524303 HRO524302:HRO524303 IBK524302:IBK524303 ILG524302:ILG524303 IVC524302:IVC524303 JEY524302:JEY524303 JOU524302:JOU524303 JYQ524302:JYQ524303 KIM524302:KIM524303 KSI524302:KSI524303 LCE524302:LCE524303 LMA524302:LMA524303 LVW524302:LVW524303 MFS524302:MFS524303 MPO524302:MPO524303 MZK524302:MZK524303 NJG524302:NJG524303 NTC524302:NTC524303 OCY524302:OCY524303 OMU524302:OMU524303 OWQ524302:OWQ524303 PGM524302:PGM524303 PQI524302:PQI524303 QAE524302:QAE524303 QKA524302:QKA524303 QTW524302:QTW524303 RDS524302:RDS524303 RNO524302:RNO524303 RXK524302:RXK524303 SHG524302:SHG524303 SRC524302:SRC524303 TAY524302:TAY524303 TKU524302:TKU524303 TUQ524302:TUQ524303 UEM524302:UEM524303 UOI524302:UOI524303 UYE524302:UYE524303 VIA524302:VIA524303 VRW524302:VRW524303 WBS524302:WBS524303 WLO524302:WLO524303 WVK524302:WVK524303 C589838:C589839 IY589838:IY589839 SU589838:SU589839 ACQ589838:ACQ589839 AMM589838:AMM589839 AWI589838:AWI589839 BGE589838:BGE589839 BQA589838:BQA589839 BZW589838:BZW589839 CJS589838:CJS589839 CTO589838:CTO589839 DDK589838:DDK589839 DNG589838:DNG589839 DXC589838:DXC589839 EGY589838:EGY589839 EQU589838:EQU589839 FAQ589838:FAQ589839 FKM589838:FKM589839 FUI589838:FUI589839 GEE589838:GEE589839 GOA589838:GOA589839 GXW589838:GXW589839 HHS589838:HHS589839 HRO589838:HRO589839 IBK589838:IBK589839 ILG589838:ILG589839 IVC589838:IVC589839 JEY589838:JEY589839 JOU589838:JOU589839 JYQ589838:JYQ589839 KIM589838:KIM589839 KSI589838:KSI589839 LCE589838:LCE589839 LMA589838:LMA589839 LVW589838:LVW589839 MFS589838:MFS589839 MPO589838:MPO589839 MZK589838:MZK589839 NJG589838:NJG589839 NTC589838:NTC589839 OCY589838:OCY589839 OMU589838:OMU589839 OWQ589838:OWQ589839 PGM589838:PGM589839 PQI589838:PQI589839 QAE589838:QAE589839 QKA589838:QKA589839 QTW589838:QTW589839 RDS589838:RDS589839 RNO589838:RNO589839 RXK589838:RXK589839 SHG589838:SHG589839 SRC589838:SRC589839 TAY589838:TAY589839 TKU589838:TKU589839 TUQ589838:TUQ589839 UEM589838:UEM589839 UOI589838:UOI589839 UYE589838:UYE589839 VIA589838:VIA589839 VRW589838:VRW589839 WBS589838:WBS589839 WLO589838:WLO589839 WVK589838:WVK589839 C655374:C655375 IY655374:IY655375 SU655374:SU655375 ACQ655374:ACQ655375 AMM655374:AMM655375 AWI655374:AWI655375 BGE655374:BGE655375 BQA655374:BQA655375 BZW655374:BZW655375 CJS655374:CJS655375 CTO655374:CTO655375 DDK655374:DDK655375 DNG655374:DNG655375 DXC655374:DXC655375 EGY655374:EGY655375 EQU655374:EQU655375 FAQ655374:FAQ655375 FKM655374:FKM655375 FUI655374:FUI655375 GEE655374:GEE655375 GOA655374:GOA655375 GXW655374:GXW655375 HHS655374:HHS655375 HRO655374:HRO655375 IBK655374:IBK655375 ILG655374:ILG655375 IVC655374:IVC655375 JEY655374:JEY655375 JOU655374:JOU655375 JYQ655374:JYQ655375 KIM655374:KIM655375 KSI655374:KSI655375 LCE655374:LCE655375 LMA655374:LMA655375 LVW655374:LVW655375 MFS655374:MFS655375 MPO655374:MPO655375 MZK655374:MZK655375 NJG655374:NJG655375 NTC655374:NTC655375 OCY655374:OCY655375 OMU655374:OMU655375 OWQ655374:OWQ655375 PGM655374:PGM655375 PQI655374:PQI655375 QAE655374:QAE655375 QKA655374:QKA655375 QTW655374:QTW655375 RDS655374:RDS655375 RNO655374:RNO655375 RXK655374:RXK655375 SHG655374:SHG655375 SRC655374:SRC655375 TAY655374:TAY655375 TKU655374:TKU655375 TUQ655374:TUQ655375 UEM655374:UEM655375 UOI655374:UOI655375 UYE655374:UYE655375 VIA655374:VIA655375 VRW655374:VRW655375 WBS655374:WBS655375 WLO655374:WLO655375 WVK655374:WVK655375 C720910:C720911 IY720910:IY720911 SU720910:SU720911 ACQ720910:ACQ720911 AMM720910:AMM720911 AWI720910:AWI720911 BGE720910:BGE720911 BQA720910:BQA720911 BZW720910:BZW720911 CJS720910:CJS720911 CTO720910:CTO720911 DDK720910:DDK720911 DNG720910:DNG720911 DXC720910:DXC720911 EGY720910:EGY720911 EQU720910:EQU720911 FAQ720910:FAQ720911 FKM720910:FKM720911 FUI720910:FUI720911 GEE720910:GEE720911 GOA720910:GOA720911 GXW720910:GXW720911 HHS720910:HHS720911 HRO720910:HRO720911 IBK720910:IBK720911 ILG720910:ILG720911 IVC720910:IVC720911 JEY720910:JEY720911 JOU720910:JOU720911 JYQ720910:JYQ720911 KIM720910:KIM720911 KSI720910:KSI720911 LCE720910:LCE720911 LMA720910:LMA720911 LVW720910:LVW720911 MFS720910:MFS720911 MPO720910:MPO720911 MZK720910:MZK720911 NJG720910:NJG720911 NTC720910:NTC720911 OCY720910:OCY720911 OMU720910:OMU720911 OWQ720910:OWQ720911 PGM720910:PGM720911 PQI720910:PQI720911 QAE720910:QAE720911 QKA720910:QKA720911 QTW720910:QTW720911 RDS720910:RDS720911 RNO720910:RNO720911 RXK720910:RXK720911 SHG720910:SHG720911 SRC720910:SRC720911 TAY720910:TAY720911 TKU720910:TKU720911 TUQ720910:TUQ720911 UEM720910:UEM720911 UOI720910:UOI720911 UYE720910:UYE720911 VIA720910:VIA720911 VRW720910:VRW720911 WBS720910:WBS720911 WLO720910:WLO720911 WVK720910:WVK720911 C786446:C786447 IY786446:IY786447 SU786446:SU786447 ACQ786446:ACQ786447 AMM786446:AMM786447 AWI786446:AWI786447 BGE786446:BGE786447 BQA786446:BQA786447 BZW786446:BZW786447 CJS786446:CJS786447 CTO786446:CTO786447 DDK786446:DDK786447 DNG786446:DNG786447 DXC786446:DXC786447 EGY786446:EGY786447 EQU786446:EQU786447 FAQ786446:FAQ786447 FKM786446:FKM786447 FUI786446:FUI786447 GEE786446:GEE786447 GOA786446:GOA786447 GXW786446:GXW786447 HHS786446:HHS786447 HRO786446:HRO786447 IBK786446:IBK786447 ILG786446:ILG786447 IVC786446:IVC786447 JEY786446:JEY786447 JOU786446:JOU786447 JYQ786446:JYQ786447 KIM786446:KIM786447 KSI786446:KSI786447 LCE786446:LCE786447 LMA786446:LMA786447 LVW786446:LVW786447 MFS786446:MFS786447 MPO786446:MPO786447 MZK786446:MZK786447 NJG786446:NJG786447 NTC786446:NTC786447 OCY786446:OCY786447 OMU786446:OMU786447 OWQ786446:OWQ786447 PGM786446:PGM786447 PQI786446:PQI786447 QAE786446:QAE786447 QKA786446:QKA786447 QTW786446:QTW786447 RDS786446:RDS786447 RNO786446:RNO786447 RXK786446:RXK786447 SHG786446:SHG786447 SRC786446:SRC786447 TAY786446:TAY786447 TKU786446:TKU786447 TUQ786446:TUQ786447 UEM786446:UEM786447 UOI786446:UOI786447 UYE786446:UYE786447 VIA786446:VIA786447 VRW786446:VRW786447 WBS786446:WBS786447 WLO786446:WLO786447 WVK786446:WVK786447 C851982:C851983 IY851982:IY851983 SU851982:SU851983 ACQ851982:ACQ851983 AMM851982:AMM851983 AWI851982:AWI851983 BGE851982:BGE851983 BQA851982:BQA851983 BZW851982:BZW851983 CJS851982:CJS851983 CTO851982:CTO851983 DDK851982:DDK851983 DNG851982:DNG851983 DXC851982:DXC851983 EGY851982:EGY851983 EQU851982:EQU851983 FAQ851982:FAQ851983 FKM851982:FKM851983 FUI851982:FUI851983 GEE851982:GEE851983 GOA851982:GOA851983 GXW851982:GXW851983 HHS851982:HHS851983 HRO851982:HRO851983 IBK851982:IBK851983 ILG851982:ILG851983 IVC851982:IVC851983 JEY851982:JEY851983 JOU851982:JOU851983 JYQ851982:JYQ851983 KIM851982:KIM851983 KSI851982:KSI851983 LCE851982:LCE851983 LMA851982:LMA851983 LVW851982:LVW851983 MFS851982:MFS851983 MPO851982:MPO851983 MZK851982:MZK851983 NJG851982:NJG851983 NTC851982:NTC851983 OCY851982:OCY851983 OMU851982:OMU851983 OWQ851982:OWQ851983 PGM851982:PGM851983 PQI851982:PQI851983 QAE851982:QAE851983 QKA851982:QKA851983 QTW851982:QTW851983 RDS851982:RDS851983 RNO851982:RNO851983 RXK851982:RXK851983 SHG851982:SHG851983 SRC851982:SRC851983 TAY851982:TAY851983 TKU851982:TKU851983 TUQ851982:TUQ851983 UEM851982:UEM851983 UOI851982:UOI851983 UYE851982:UYE851983 VIA851982:VIA851983 VRW851982:VRW851983 WBS851982:WBS851983 WLO851982:WLO851983 WVK851982:WVK851983 C917518:C917519 IY917518:IY917519 SU917518:SU917519 ACQ917518:ACQ917519 AMM917518:AMM917519 AWI917518:AWI917519 BGE917518:BGE917519 BQA917518:BQA917519 BZW917518:BZW917519 CJS917518:CJS917519 CTO917518:CTO917519 DDK917518:DDK917519 DNG917518:DNG917519 DXC917518:DXC917519 EGY917518:EGY917519 EQU917518:EQU917519 FAQ917518:FAQ917519 FKM917518:FKM917519 FUI917518:FUI917519 GEE917518:GEE917519 GOA917518:GOA917519 GXW917518:GXW917519 HHS917518:HHS917519 HRO917518:HRO917519 IBK917518:IBK917519 ILG917518:ILG917519 IVC917518:IVC917519 JEY917518:JEY917519 JOU917518:JOU917519 JYQ917518:JYQ917519 KIM917518:KIM917519 KSI917518:KSI917519 LCE917518:LCE917519 LMA917518:LMA917519 LVW917518:LVW917519 MFS917518:MFS917519 MPO917518:MPO917519 MZK917518:MZK917519 NJG917518:NJG917519 NTC917518:NTC917519 OCY917518:OCY917519 OMU917518:OMU917519 OWQ917518:OWQ917519 PGM917518:PGM917519 PQI917518:PQI917519 QAE917518:QAE917519 QKA917518:QKA917519 QTW917518:QTW917519 RDS917518:RDS917519 RNO917518:RNO917519 RXK917518:RXK917519 SHG917518:SHG917519 SRC917518:SRC917519 TAY917518:TAY917519 TKU917518:TKU917519 TUQ917518:TUQ917519 UEM917518:UEM917519 UOI917518:UOI917519 UYE917518:UYE917519 VIA917518:VIA917519 VRW917518:VRW917519 WBS917518:WBS917519 WLO917518:WLO917519 WVK917518:WVK917519 C983054:C983055 IY983054:IY983055 SU983054:SU983055 ACQ983054:ACQ983055 AMM983054:AMM983055 AWI983054:AWI983055 BGE983054:BGE983055 BQA983054:BQA983055 BZW983054:BZW983055 CJS983054:CJS983055 CTO983054:CTO983055 DDK983054:DDK983055 DNG983054:DNG983055 DXC983054:DXC983055 EGY983054:EGY983055 EQU983054:EQU983055 FAQ983054:FAQ983055 FKM983054:FKM983055 FUI983054:FUI983055 GEE983054:GEE983055 GOA983054:GOA983055 GXW983054:GXW983055 HHS983054:HHS983055 HRO983054:HRO983055 IBK983054:IBK983055 ILG983054:ILG983055 IVC983054:IVC983055 JEY983054:JEY983055 JOU983054:JOU983055 JYQ983054:JYQ983055 KIM983054:KIM983055 KSI983054:KSI983055 LCE983054:LCE983055 LMA983054:LMA983055 LVW983054:LVW983055 MFS983054:MFS983055 MPO983054:MPO983055 MZK983054:MZK983055 NJG983054:NJG983055 NTC983054:NTC983055 OCY983054:OCY983055 OMU983054:OMU983055 OWQ983054:OWQ983055 PGM983054:PGM983055 PQI983054:PQI983055 QAE983054:QAE983055 QKA983054:QKA983055 QTW983054:QTW983055 RDS983054:RDS983055 RNO983054:RNO983055 RXK983054:RXK983055 SHG983054:SHG983055 SRC983054:SRC983055 TAY983054:TAY983055 TKU983054:TKU983055 TUQ983054:TUQ983055 UEM983054:UEM983055 UOI983054:UOI983055 UYE983054:UYE983055 VIA983054:VIA983055 VRW983054:VRW983055 WBS983054:WBS983055 WLO983054:WLO983055 WVK983054:WVK983055 WVK983021:WVK983041 IY18:IY27 SU18:SU27 ACQ18:ACQ27 AMM18:AMM27 AWI18:AWI27 BGE18:BGE27 BQA18:BQA27 BZW18:BZW27 CJS18:CJS27 CTO18:CTO27 DDK18:DDK27 DNG18:DNG27 DXC18:DXC27 EGY18:EGY27 EQU18:EQU27 FAQ18:FAQ27 FKM18:FKM27 FUI18:FUI27 GEE18:GEE27 GOA18:GOA27 GXW18:GXW27 HHS18:HHS27 HRO18:HRO27 IBK18:IBK27 ILG18:ILG27 IVC18:IVC27 JEY18:JEY27 JOU18:JOU27 JYQ18:JYQ27 KIM18:KIM27 KSI18:KSI27 LCE18:LCE27 LMA18:LMA27 LVW18:LVW27 MFS18:MFS27 MPO18:MPO27 MZK18:MZK27 NJG18:NJG27 NTC18:NTC27 OCY18:OCY27 OMU18:OMU27 OWQ18:OWQ27 PGM18:PGM27 PQI18:PQI27 QAE18:QAE27 QKA18:QKA27 QTW18:QTW27 RDS18:RDS27 RNO18:RNO27 RXK18:RXK27 SHG18:SHG27 SRC18:SRC27 TAY18:TAY27 TKU18:TKU27 TUQ18:TUQ27 UEM18:UEM27 UOI18:UOI27 UYE18:UYE27 VIA18:VIA27 VRW18:VRW27 WBS18:WBS27 WLO18:WLO27 WVK18:WVK27 C65517:C65537 IY65517:IY65537 SU65517:SU65537 ACQ65517:ACQ65537 AMM65517:AMM65537 AWI65517:AWI65537 BGE65517:BGE65537 BQA65517:BQA65537 BZW65517:BZW65537 CJS65517:CJS65537 CTO65517:CTO65537 DDK65517:DDK65537 DNG65517:DNG65537 DXC65517:DXC65537 EGY65517:EGY65537 EQU65517:EQU65537 FAQ65517:FAQ65537 FKM65517:FKM65537 FUI65517:FUI65537 GEE65517:GEE65537 GOA65517:GOA65537 GXW65517:GXW65537 HHS65517:HHS65537 HRO65517:HRO65537 IBK65517:IBK65537 ILG65517:ILG65537 IVC65517:IVC65537 JEY65517:JEY65537 JOU65517:JOU65537 JYQ65517:JYQ65537 KIM65517:KIM65537 KSI65517:KSI65537 LCE65517:LCE65537 LMA65517:LMA65537 LVW65517:LVW65537 MFS65517:MFS65537 MPO65517:MPO65537 MZK65517:MZK65537 NJG65517:NJG65537 NTC65517:NTC65537 OCY65517:OCY65537 OMU65517:OMU65537 OWQ65517:OWQ65537 PGM65517:PGM65537 PQI65517:PQI65537 QAE65517:QAE65537 QKA65517:QKA65537 QTW65517:QTW65537 RDS65517:RDS65537 RNO65517:RNO65537 RXK65517:RXK65537 SHG65517:SHG65537 SRC65517:SRC65537 TAY65517:TAY65537 TKU65517:TKU65537 TUQ65517:TUQ65537 UEM65517:UEM65537 UOI65517:UOI65537 UYE65517:UYE65537 VIA65517:VIA65537 VRW65517:VRW65537 WBS65517:WBS65537 WLO65517:WLO65537 WVK65517:WVK65537 C131053:C131073 IY131053:IY131073 SU131053:SU131073 ACQ131053:ACQ131073 AMM131053:AMM131073 AWI131053:AWI131073 BGE131053:BGE131073 BQA131053:BQA131073 BZW131053:BZW131073 CJS131053:CJS131073 CTO131053:CTO131073 DDK131053:DDK131073 DNG131053:DNG131073 DXC131053:DXC131073 EGY131053:EGY131073 EQU131053:EQU131073 FAQ131053:FAQ131073 FKM131053:FKM131073 FUI131053:FUI131073 GEE131053:GEE131073 GOA131053:GOA131073 GXW131053:GXW131073 HHS131053:HHS131073 HRO131053:HRO131073 IBK131053:IBK131073 ILG131053:ILG131073 IVC131053:IVC131073 JEY131053:JEY131073 JOU131053:JOU131073 JYQ131053:JYQ131073 KIM131053:KIM131073 KSI131053:KSI131073 LCE131053:LCE131073 LMA131053:LMA131073 LVW131053:LVW131073 MFS131053:MFS131073 MPO131053:MPO131073 MZK131053:MZK131073 NJG131053:NJG131073 NTC131053:NTC131073 OCY131053:OCY131073 OMU131053:OMU131073 OWQ131053:OWQ131073 PGM131053:PGM131073 PQI131053:PQI131073 QAE131053:QAE131073 QKA131053:QKA131073 QTW131053:QTW131073 RDS131053:RDS131073 RNO131053:RNO131073 RXK131053:RXK131073 SHG131053:SHG131073 SRC131053:SRC131073 TAY131053:TAY131073 TKU131053:TKU131073 TUQ131053:TUQ131073 UEM131053:UEM131073 UOI131053:UOI131073 UYE131053:UYE131073 VIA131053:VIA131073 VRW131053:VRW131073 WBS131053:WBS131073 WLO131053:WLO131073 WVK131053:WVK131073 C196589:C196609 IY196589:IY196609 SU196589:SU196609 ACQ196589:ACQ196609 AMM196589:AMM196609 AWI196589:AWI196609 BGE196589:BGE196609 BQA196589:BQA196609 BZW196589:BZW196609 CJS196589:CJS196609 CTO196589:CTO196609 DDK196589:DDK196609 DNG196589:DNG196609 DXC196589:DXC196609 EGY196589:EGY196609 EQU196589:EQU196609 FAQ196589:FAQ196609 FKM196589:FKM196609 FUI196589:FUI196609 GEE196589:GEE196609 GOA196589:GOA196609 GXW196589:GXW196609 HHS196589:HHS196609 HRO196589:HRO196609 IBK196589:IBK196609 ILG196589:ILG196609 IVC196589:IVC196609 JEY196589:JEY196609 JOU196589:JOU196609 JYQ196589:JYQ196609 KIM196589:KIM196609 KSI196589:KSI196609 LCE196589:LCE196609 LMA196589:LMA196609 LVW196589:LVW196609 MFS196589:MFS196609 MPO196589:MPO196609 MZK196589:MZK196609 NJG196589:NJG196609 NTC196589:NTC196609 OCY196589:OCY196609 OMU196589:OMU196609 OWQ196589:OWQ196609 PGM196589:PGM196609 PQI196589:PQI196609 QAE196589:QAE196609 QKA196589:QKA196609 QTW196589:QTW196609 RDS196589:RDS196609 RNO196589:RNO196609 RXK196589:RXK196609 SHG196589:SHG196609 SRC196589:SRC196609 TAY196589:TAY196609 TKU196589:TKU196609 TUQ196589:TUQ196609 UEM196589:UEM196609 UOI196589:UOI196609 UYE196589:UYE196609 VIA196589:VIA196609 VRW196589:VRW196609 WBS196589:WBS196609 WLO196589:WLO196609 WVK196589:WVK196609 C262125:C262145 IY262125:IY262145 SU262125:SU262145 ACQ262125:ACQ262145 AMM262125:AMM262145 AWI262125:AWI262145 BGE262125:BGE262145 BQA262125:BQA262145 BZW262125:BZW262145 CJS262125:CJS262145 CTO262125:CTO262145 DDK262125:DDK262145 DNG262125:DNG262145 DXC262125:DXC262145 EGY262125:EGY262145 EQU262125:EQU262145 FAQ262125:FAQ262145 FKM262125:FKM262145 FUI262125:FUI262145 GEE262125:GEE262145 GOA262125:GOA262145 GXW262125:GXW262145 HHS262125:HHS262145 HRO262125:HRO262145 IBK262125:IBK262145 ILG262125:ILG262145 IVC262125:IVC262145 JEY262125:JEY262145 JOU262125:JOU262145 JYQ262125:JYQ262145 KIM262125:KIM262145 KSI262125:KSI262145 LCE262125:LCE262145 LMA262125:LMA262145 LVW262125:LVW262145 MFS262125:MFS262145 MPO262125:MPO262145 MZK262125:MZK262145 NJG262125:NJG262145 NTC262125:NTC262145 OCY262125:OCY262145 OMU262125:OMU262145 OWQ262125:OWQ262145 PGM262125:PGM262145 PQI262125:PQI262145 QAE262125:QAE262145 QKA262125:QKA262145 QTW262125:QTW262145 RDS262125:RDS262145 RNO262125:RNO262145 RXK262125:RXK262145 SHG262125:SHG262145 SRC262125:SRC262145 TAY262125:TAY262145 TKU262125:TKU262145 TUQ262125:TUQ262145 UEM262125:UEM262145 UOI262125:UOI262145 UYE262125:UYE262145 VIA262125:VIA262145 VRW262125:VRW262145 WBS262125:WBS262145 WLO262125:WLO262145 WVK262125:WVK262145 C327661:C327681 IY327661:IY327681 SU327661:SU327681 ACQ327661:ACQ327681 AMM327661:AMM327681 AWI327661:AWI327681 BGE327661:BGE327681 BQA327661:BQA327681 BZW327661:BZW327681 CJS327661:CJS327681 CTO327661:CTO327681 DDK327661:DDK327681 DNG327661:DNG327681 DXC327661:DXC327681 EGY327661:EGY327681 EQU327661:EQU327681 FAQ327661:FAQ327681 FKM327661:FKM327681 FUI327661:FUI327681 GEE327661:GEE327681 GOA327661:GOA327681 GXW327661:GXW327681 HHS327661:HHS327681 HRO327661:HRO327681 IBK327661:IBK327681 ILG327661:ILG327681 IVC327661:IVC327681 JEY327661:JEY327681 JOU327661:JOU327681 JYQ327661:JYQ327681 KIM327661:KIM327681 KSI327661:KSI327681 LCE327661:LCE327681 LMA327661:LMA327681 LVW327661:LVW327681 MFS327661:MFS327681 MPO327661:MPO327681 MZK327661:MZK327681 NJG327661:NJG327681 NTC327661:NTC327681 OCY327661:OCY327681 OMU327661:OMU327681 OWQ327661:OWQ327681 PGM327661:PGM327681 PQI327661:PQI327681 QAE327661:QAE327681 QKA327661:QKA327681 QTW327661:QTW327681 RDS327661:RDS327681 RNO327661:RNO327681 RXK327661:RXK327681 SHG327661:SHG327681 SRC327661:SRC327681 TAY327661:TAY327681 TKU327661:TKU327681 TUQ327661:TUQ327681 UEM327661:UEM327681 UOI327661:UOI327681 UYE327661:UYE327681 VIA327661:VIA327681 VRW327661:VRW327681 WBS327661:WBS327681 WLO327661:WLO327681 WVK327661:WVK327681 C393197:C393217 IY393197:IY393217 SU393197:SU393217 ACQ393197:ACQ393217 AMM393197:AMM393217 AWI393197:AWI393217 BGE393197:BGE393217 BQA393197:BQA393217 BZW393197:BZW393217 CJS393197:CJS393217 CTO393197:CTO393217 DDK393197:DDK393217 DNG393197:DNG393217 DXC393197:DXC393217 EGY393197:EGY393217 EQU393197:EQU393217 FAQ393197:FAQ393217 FKM393197:FKM393217 FUI393197:FUI393217 GEE393197:GEE393217 GOA393197:GOA393217 GXW393197:GXW393217 HHS393197:HHS393217 HRO393197:HRO393217 IBK393197:IBK393217 ILG393197:ILG393217 IVC393197:IVC393217 JEY393197:JEY393217 JOU393197:JOU393217 JYQ393197:JYQ393217 KIM393197:KIM393217 KSI393197:KSI393217 LCE393197:LCE393217 LMA393197:LMA393217 LVW393197:LVW393217 MFS393197:MFS393217 MPO393197:MPO393217 MZK393197:MZK393217 NJG393197:NJG393217 NTC393197:NTC393217 OCY393197:OCY393217 OMU393197:OMU393217 OWQ393197:OWQ393217 PGM393197:PGM393217 PQI393197:PQI393217 QAE393197:QAE393217 QKA393197:QKA393217 QTW393197:QTW393217 RDS393197:RDS393217 RNO393197:RNO393217 RXK393197:RXK393217 SHG393197:SHG393217 SRC393197:SRC393217 TAY393197:TAY393217 TKU393197:TKU393217 TUQ393197:TUQ393217 UEM393197:UEM393217 UOI393197:UOI393217 UYE393197:UYE393217 VIA393197:VIA393217 VRW393197:VRW393217 WBS393197:WBS393217 WLO393197:WLO393217 WVK393197:WVK393217 C458733:C458753 IY458733:IY458753 SU458733:SU458753 ACQ458733:ACQ458753 AMM458733:AMM458753 AWI458733:AWI458753 BGE458733:BGE458753 BQA458733:BQA458753 BZW458733:BZW458753 CJS458733:CJS458753 CTO458733:CTO458753 DDK458733:DDK458753 DNG458733:DNG458753 DXC458733:DXC458753 EGY458733:EGY458753 EQU458733:EQU458753 FAQ458733:FAQ458753 FKM458733:FKM458753 FUI458733:FUI458753 GEE458733:GEE458753 GOA458733:GOA458753 GXW458733:GXW458753 HHS458733:HHS458753 HRO458733:HRO458753 IBK458733:IBK458753 ILG458733:ILG458753 IVC458733:IVC458753 JEY458733:JEY458753 JOU458733:JOU458753 JYQ458733:JYQ458753 KIM458733:KIM458753 KSI458733:KSI458753 LCE458733:LCE458753 LMA458733:LMA458753 LVW458733:LVW458753 MFS458733:MFS458753 MPO458733:MPO458753 MZK458733:MZK458753 NJG458733:NJG458753 NTC458733:NTC458753 OCY458733:OCY458753 OMU458733:OMU458753 OWQ458733:OWQ458753 PGM458733:PGM458753 PQI458733:PQI458753 QAE458733:QAE458753 QKA458733:QKA458753 QTW458733:QTW458753 RDS458733:RDS458753 RNO458733:RNO458753 RXK458733:RXK458753 SHG458733:SHG458753 SRC458733:SRC458753 TAY458733:TAY458753 TKU458733:TKU458753 TUQ458733:TUQ458753 UEM458733:UEM458753 UOI458733:UOI458753 UYE458733:UYE458753 VIA458733:VIA458753 VRW458733:VRW458753 WBS458733:WBS458753 WLO458733:WLO458753 WVK458733:WVK458753 C524269:C524289 IY524269:IY524289 SU524269:SU524289 ACQ524269:ACQ524289 AMM524269:AMM524289 AWI524269:AWI524289 BGE524269:BGE524289 BQA524269:BQA524289 BZW524269:BZW524289 CJS524269:CJS524289 CTO524269:CTO524289 DDK524269:DDK524289 DNG524269:DNG524289 DXC524269:DXC524289 EGY524269:EGY524289 EQU524269:EQU524289 FAQ524269:FAQ524289 FKM524269:FKM524289 FUI524269:FUI524289 GEE524269:GEE524289 GOA524269:GOA524289 GXW524269:GXW524289 HHS524269:HHS524289 HRO524269:HRO524289 IBK524269:IBK524289 ILG524269:ILG524289 IVC524269:IVC524289 JEY524269:JEY524289 JOU524269:JOU524289 JYQ524269:JYQ524289 KIM524269:KIM524289 KSI524269:KSI524289 LCE524269:LCE524289 LMA524269:LMA524289 LVW524269:LVW524289 MFS524269:MFS524289 MPO524269:MPO524289 MZK524269:MZK524289 NJG524269:NJG524289 NTC524269:NTC524289 OCY524269:OCY524289 OMU524269:OMU524289 OWQ524269:OWQ524289 PGM524269:PGM524289 PQI524269:PQI524289 QAE524269:QAE524289 QKA524269:QKA524289 QTW524269:QTW524289 RDS524269:RDS524289 RNO524269:RNO524289 RXK524269:RXK524289 SHG524269:SHG524289 SRC524269:SRC524289 TAY524269:TAY524289 TKU524269:TKU524289 TUQ524269:TUQ524289 UEM524269:UEM524289 UOI524269:UOI524289 UYE524269:UYE524289 VIA524269:VIA524289 VRW524269:VRW524289 WBS524269:WBS524289 WLO524269:WLO524289 WVK524269:WVK524289 C589805:C589825 IY589805:IY589825 SU589805:SU589825 ACQ589805:ACQ589825 AMM589805:AMM589825 AWI589805:AWI589825 BGE589805:BGE589825 BQA589805:BQA589825 BZW589805:BZW589825 CJS589805:CJS589825 CTO589805:CTO589825 DDK589805:DDK589825 DNG589805:DNG589825 DXC589805:DXC589825 EGY589805:EGY589825 EQU589805:EQU589825 FAQ589805:FAQ589825 FKM589805:FKM589825 FUI589805:FUI589825 GEE589805:GEE589825 GOA589805:GOA589825 GXW589805:GXW589825 HHS589805:HHS589825 HRO589805:HRO589825 IBK589805:IBK589825 ILG589805:ILG589825 IVC589805:IVC589825 JEY589805:JEY589825 JOU589805:JOU589825 JYQ589805:JYQ589825 KIM589805:KIM589825 KSI589805:KSI589825 LCE589805:LCE589825 LMA589805:LMA589825 LVW589805:LVW589825 MFS589805:MFS589825 MPO589805:MPO589825 MZK589805:MZK589825 NJG589805:NJG589825 NTC589805:NTC589825 OCY589805:OCY589825 OMU589805:OMU589825 OWQ589805:OWQ589825 PGM589805:PGM589825 PQI589805:PQI589825 QAE589805:QAE589825 QKA589805:QKA589825 QTW589805:QTW589825 RDS589805:RDS589825 RNO589805:RNO589825 RXK589805:RXK589825 SHG589805:SHG589825 SRC589805:SRC589825 TAY589805:TAY589825 TKU589805:TKU589825 TUQ589805:TUQ589825 UEM589805:UEM589825 UOI589805:UOI589825 UYE589805:UYE589825 VIA589805:VIA589825 VRW589805:VRW589825 WBS589805:WBS589825 WLO589805:WLO589825 WVK589805:WVK589825 C655341:C655361 IY655341:IY655361 SU655341:SU655361 ACQ655341:ACQ655361 AMM655341:AMM655361 AWI655341:AWI655361 BGE655341:BGE655361 BQA655341:BQA655361 BZW655341:BZW655361 CJS655341:CJS655361 CTO655341:CTO655361 DDK655341:DDK655361 DNG655341:DNG655361 DXC655341:DXC655361 EGY655341:EGY655361 EQU655341:EQU655361 FAQ655341:FAQ655361 FKM655341:FKM655361 FUI655341:FUI655361 GEE655341:GEE655361 GOA655341:GOA655361 GXW655341:GXW655361 HHS655341:HHS655361 HRO655341:HRO655361 IBK655341:IBK655361 ILG655341:ILG655361 IVC655341:IVC655361 JEY655341:JEY655361 JOU655341:JOU655361 JYQ655341:JYQ655361 KIM655341:KIM655361 KSI655341:KSI655361 LCE655341:LCE655361 LMA655341:LMA655361 LVW655341:LVW655361 MFS655341:MFS655361 MPO655341:MPO655361 MZK655341:MZK655361 NJG655341:NJG655361 NTC655341:NTC655361 OCY655341:OCY655361 OMU655341:OMU655361 OWQ655341:OWQ655361 PGM655341:PGM655361 PQI655341:PQI655361 QAE655341:QAE655361 QKA655341:QKA655361 QTW655341:QTW655361 RDS655341:RDS655361 RNO655341:RNO655361 RXK655341:RXK655361 SHG655341:SHG655361 SRC655341:SRC655361 TAY655341:TAY655361 TKU655341:TKU655361 TUQ655341:TUQ655361 UEM655341:UEM655361 UOI655341:UOI655361 UYE655341:UYE655361 VIA655341:VIA655361 VRW655341:VRW655361 WBS655341:WBS655361 WLO655341:WLO655361 WVK655341:WVK655361 C720877:C720897 IY720877:IY720897 SU720877:SU720897 ACQ720877:ACQ720897 AMM720877:AMM720897 AWI720877:AWI720897 BGE720877:BGE720897 BQA720877:BQA720897 BZW720877:BZW720897 CJS720877:CJS720897 CTO720877:CTO720897 DDK720877:DDK720897 DNG720877:DNG720897 DXC720877:DXC720897 EGY720877:EGY720897 EQU720877:EQU720897 FAQ720877:FAQ720897 FKM720877:FKM720897 FUI720877:FUI720897 GEE720877:GEE720897 GOA720877:GOA720897 GXW720877:GXW720897 HHS720877:HHS720897 HRO720877:HRO720897 IBK720877:IBK720897 ILG720877:ILG720897 IVC720877:IVC720897 JEY720877:JEY720897 JOU720877:JOU720897 JYQ720877:JYQ720897 KIM720877:KIM720897 KSI720877:KSI720897 LCE720877:LCE720897 LMA720877:LMA720897 LVW720877:LVW720897 MFS720877:MFS720897 MPO720877:MPO720897 MZK720877:MZK720897 NJG720877:NJG720897 NTC720877:NTC720897 OCY720877:OCY720897 OMU720877:OMU720897 OWQ720877:OWQ720897 PGM720877:PGM720897 PQI720877:PQI720897 QAE720877:QAE720897 QKA720877:QKA720897 QTW720877:QTW720897 RDS720877:RDS720897 RNO720877:RNO720897 RXK720877:RXK720897 SHG720877:SHG720897 SRC720877:SRC720897 TAY720877:TAY720897 TKU720877:TKU720897 TUQ720877:TUQ720897 UEM720877:UEM720897 UOI720877:UOI720897 UYE720877:UYE720897 VIA720877:VIA720897 VRW720877:VRW720897 WBS720877:WBS720897 WLO720877:WLO720897 WVK720877:WVK720897 C786413:C786433 IY786413:IY786433 SU786413:SU786433 ACQ786413:ACQ786433 AMM786413:AMM786433 AWI786413:AWI786433 BGE786413:BGE786433 BQA786413:BQA786433 BZW786413:BZW786433 CJS786413:CJS786433 CTO786413:CTO786433 DDK786413:DDK786433 DNG786413:DNG786433 DXC786413:DXC786433 EGY786413:EGY786433 EQU786413:EQU786433 FAQ786413:FAQ786433 FKM786413:FKM786433 FUI786413:FUI786433 GEE786413:GEE786433 GOA786413:GOA786433 GXW786413:GXW786433 HHS786413:HHS786433 HRO786413:HRO786433 IBK786413:IBK786433 ILG786413:ILG786433 IVC786413:IVC786433 JEY786413:JEY786433 JOU786413:JOU786433 JYQ786413:JYQ786433 KIM786413:KIM786433 KSI786413:KSI786433 LCE786413:LCE786433 LMA786413:LMA786433 LVW786413:LVW786433 MFS786413:MFS786433 MPO786413:MPO786433 MZK786413:MZK786433 NJG786413:NJG786433 NTC786413:NTC786433 OCY786413:OCY786433 OMU786413:OMU786433 OWQ786413:OWQ786433 PGM786413:PGM786433 PQI786413:PQI786433 QAE786413:QAE786433 QKA786413:QKA786433 QTW786413:QTW786433 RDS786413:RDS786433 RNO786413:RNO786433 RXK786413:RXK786433 SHG786413:SHG786433 SRC786413:SRC786433 TAY786413:TAY786433 TKU786413:TKU786433 TUQ786413:TUQ786433 UEM786413:UEM786433 UOI786413:UOI786433 UYE786413:UYE786433 VIA786413:VIA786433 VRW786413:VRW786433 WBS786413:WBS786433 WLO786413:WLO786433 WVK786413:WVK786433 C851949:C851969 IY851949:IY851969 SU851949:SU851969 ACQ851949:ACQ851969 AMM851949:AMM851969 AWI851949:AWI851969 BGE851949:BGE851969 BQA851949:BQA851969 BZW851949:BZW851969 CJS851949:CJS851969 CTO851949:CTO851969 DDK851949:DDK851969 DNG851949:DNG851969 DXC851949:DXC851969 EGY851949:EGY851969 EQU851949:EQU851969 FAQ851949:FAQ851969 FKM851949:FKM851969 FUI851949:FUI851969 GEE851949:GEE851969 GOA851949:GOA851969 GXW851949:GXW851969 HHS851949:HHS851969 HRO851949:HRO851969 IBK851949:IBK851969 ILG851949:ILG851969 IVC851949:IVC851969 JEY851949:JEY851969 JOU851949:JOU851969 JYQ851949:JYQ851969 KIM851949:KIM851969 KSI851949:KSI851969 LCE851949:LCE851969 LMA851949:LMA851969 LVW851949:LVW851969 MFS851949:MFS851969 MPO851949:MPO851969 MZK851949:MZK851969 NJG851949:NJG851969 NTC851949:NTC851969 OCY851949:OCY851969 OMU851949:OMU851969 OWQ851949:OWQ851969 PGM851949:PGM851969 PQI851949:PQI851969 QAE851949:QAE851969 QKA851949:QKA851969 QTW851949:QTW851969 RDS851949:RDS851969 RNO851949:RNO851969 RXK851949:RXK851969 SHG851949:SHG851969 SRC851949:SRC851969 TAY851949:TAY851969 TKU851949:TKU851969 TUQ851949:TUQ851969 UEM851949:UEM851969 UOI851949:UOI851969 UYE851949:UYE851969 VIA851949:VIA851969 VRW851949:VRW851969 WBS851949:WBS851969 WLO851949:WLO851969 WVK851949:WVK851969 C917485:C917505 IY917485:IY917505 SU917485:SU917505 ACQ917485:ACQ917505 AMM917485:AMM917505 AWI917485:AWI917505 BGE917485:BGE917505 BQA917485:BQA917505 BZW917485:BZW917505 CJS917485:CJS917505 CTO917485:CTO917505 DDK917485:DDK917505 DNG917485:DNG917505 DXC917485:DXC917505 EGY917485:EGY917505 EQU917485:EQU917505 FAQ917485:FAQ917505 FKM917485:FKM917505 FUI917485:FUI917505 GEE917485:GEE917505 GOA917485:GOA917505 GXW917485:GXW917505 HHS917485:HHS917505 HRO917485:HRO917505 IBK917485:IBK917505 ILG917485:ILG917505 IVC917485:IVC917505 JEY917485:JEY917505 JOU917485:JOU917505 JYQ917485:JYQ917505 KIM917485:KIM917505 KSI917485:KSI917505 LCE917485:LCE917505 LMA917485:LMA917505 LVW917485:LVW917505 MFS917485:MFS917505 MPO917485:MPO917505 MZK917485:MZK917505 NJG917485:NJG917505 NTC917485:NTC917505 OCY917485:OCY917505 OMU917485:OMU917505 OWQ917485:OWQ917505 PGM917485:PGM917505 PQI917485:PQI917505 QAE917485:QAE917505 QKA917485:QKA917505 QTW917485:QTW917505 RDS917485:RDS917505 RNO917485:RNO917505 RXK917485:RXK917505 SHG917485:SHG917505 SRC917485:SRC917505 TAY917485:TAY917505 TKU917485:TKU917505 TUQ917485:TUQ917505 UEM917485:UEM917505 UOI917485:UOI917505 UYE917485:UYE917505 VIA917485:VIA917505 VRW917485:VRW917505 WBS917485:WBS917505 WLO917485:WLO917505 WVK917485:WVK917505 C983021:C983041 IY983021:IY983041 SU983021:SU983041 ACQ983021:ACQ983041 AMM983021:AMM983041 AWI983021:AWI983041 BGE983021:BGE983041 BQA983021:BQA983041 BZW983021:BZW983041 CJS983021:CJS983041 CTO983021:CTO983041 DDK983021:DDK983041 DNG983021:DNG983041 DXC983021:DXC983041 EGY983021:EGY983041 EQU983021:EQU983041 FAQ983021:FAQ983041 FKM983021:FKM983041 FUI983021:FUI983041 GEE983021:GEE983041 GOA983021:GOA983041 GXW983021:GXW983041 HHS983021:HHS983041 HRO983021:HRO983041 IBK983021:IBK983041 ILG983021:ILG983041 IVC983021:IVC983041 JEY983021:JEY983041 JOU983021:JOU983041 JYQ983021:JYQ983041 KIM983021:KIM983041 KSI983021:KSI983041 LCE983021:LCE983041 LMA983021:LMA983041 LVW983021:LVW983041 MFS983021:MFS983041 MPO983021:MPO983041 MZK983021:MZK983041 NJG983021:NJG983041 NTC983021:NTC983041 OCY983021:OCY983041 OMU983021:OMU983041 OWQ983021:OWQ983041 PGM983021:PGM983041 PQI983021:PQI983041 QAE983021:QAE983041 QKA983021:QKA983041 QTW983021:QTW983041 RDS983021:RDS983041 RNO983021:RNO983041 RXK983021:RXK983041 SHG983021:SHG983041 SRC983021:SRC983041 TAY983021:TAY983041 TKU983021:TKU983041 TUQ983021:TUQ983041 UEM983021:UEM983041 UOI983021:UOI983041 UYE983021:UYE983041 VIA983021:VIA983041 VRW983021:VRW983041 WBS983021:WBS983041 WLO983021:WLO983041">
      <formula1>HS</formula1>
    </dataValidation>
    <dataValidation type="list" allowBlank="1" showInputMessage="1" showErrorMessage="1" sqref="C6:C27">
      <formula1>HS0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zoomScale="70" zoomScaleNormal="70" workbookViewId="0">
      <selection activeCell="M36" sqref="M36"/>
    </sheetView>
  </sheetViews>
  <sheetFormatPr defaultRowHeight="12.75" x14ac:dyDescent="0.2"/>
  <cols>
    <col min="1" max="2" width="9.140625" style="1"/>
    <col min="3" max="3" width="29" style="1" customWidth="1"/>
    <col min="4" max="4" width="9.5703125" style="1" customWidth="1"/>
    <col min="5" max="7" width="9.140625" style="1"/>
    <col min="8" max="8" width="4.85546875" style="1" customWidth="1"/>
    <col min="9" max="9" width="9.140625" style="1"/>
    <col min="10" max="10" width="11.85546875" style="1" customWidth="1"/>
    <col min="11" max="13" width="9.140625" style="1"/>
    <col min="14" max="14" width="11.28515625" style="1" bestFit="1" customWidth="1"/>
    <col min="15" max="22" width="9.140625" style="1"/>
    <col min="23" max="24" width="11.85546875" style="1" customWidth="1"/>
    <col min="25" max="25" width="14.85546875" style="1" customWidth="1"/>
    <col min="26" max="16384" width="9.140625" style="1"/>
  </cols>
  <sheetData>
    <row r="1" spans="1:25" ht="16.5" thickBot="1" x14ac:dyDescent="0.3">
      <c r="A1" s="14" t="s">
        <v>326</v>
      </c>
      <c r="B1" s="27"/>
      <c r="C1" s="27"/>
      <c r="D1" s="27"/>
      <c r="E1" s="27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5"/>
      <c r="X1" s="5" t="s">
        <v>100</v>
      </c>
      <c r="Y1" s="6" t="s">
        <v>1775</v>
      </c>
    </row>
    <row r="2" spans="1:25" ht="33.75" customHeight="1" x14ac:dyDescent="0.2">
      <c r="A2" s="755" t="s">
        <v>73</v>
      </c>
      <c r="B2" s="752" t="s">
        <v>72</v>
      </c>
      <c r="C2" s="757" t="s">
        <v>291</v>
      </c>
      <c r="D2" s="752" t="s">
        <v>292</v>
      </c>
      <c r="E2" s="752" t="s">
        <v>62</v>
      </c>
      <c r="F2" s="752" t="s">
        <v>61</v>
      </c>
      <c r="G2" s="752" t="s">
        <v>60</v>
      </c>
      <c r="H2" s="752" t="s">
        <v>98</v>
      </c>
      <c r="I2" s="752" t="s">
        <v>97</v>
      </c>
      <c r="J2" s="754" t="s">
        <v>71</v>
      </c>
      <c r="K2" s="754"/>
      <c r="L2" s="752" t="s">
        <v>59</v>
      </c>
      <c r="M2" s="752" t="s">
        <v>57</v>
      </c>
      <c r="N2" s="752" t="s">
        <v>56</v>
      </c>
      <c r="O2" s="752" t="s">
        <v>103</v>
      </c>
      <c r="P2" s="752" t="s">
        <v>104</v>
      </c>
      <c r="Q2" s="752" t="s">
        <v>105</v>
      </c>
      <c r="R2" s="752" t="s">
        <v>106</v>
      </c>
      <c r="S2" s="752" t="s">
        <v>107</v>
      </c>
      <c r="T2" s="752" t="s">
        <v>108</v>
      </c>
      <c r="U2" s="752" t="s">
        <v>109</v>
      </c>
      <c r="V2" s="752" t="s">
        <v>110</v>
      </c>
      <c r="W2" s="752" t="s">
        <v>1744</v>
      </c>
      <c r="X2" s="750" t="s">
        <v>1745</v>
      </c>
      <c r="Y2" s="750" t="s">
        <v>1746</v>
      </c>
    </row>
    <row r="3" spans="1:25" ht="33.75" customHeight="1" thickBot="1" x14ac:dyDescent="0.25">
      <c r="A3" s="756"/>
      <c r="B3" s="753"/>
      <c r="C3" s="758"/>
      <c r="D3" s="753"/>
      <c r="E3" s="753"/>
      <c r="F3" s="753"/>
      <c r="G3" s="753"/>
      <c r="H3" s="753"/>
      <c r="I3" s="753"/>
      <c r="J3" s="16" t="s">
        <v>124</v>
      </c>
      <c r="K3" s="83" t="s">
        <v>58</v>
      </c>
      <c r="L3" s="753"/>
      <c r="M3" s="753"/>
      <c r="N3" s="753"/>
      <c r="O3" s="753"/>
      <c r="P3" s="753"/>
      <c r="Q3" s="753"/>
      <c r="R3" s="753"/>
      <c r="S3" s="753"/>
      <c r="T3" s="753"/>
      <c r="U3" s="753"/>
      <c r="V3" s="753"/>
      <c r="W3" s="753"/>
      <c r="X3" s="751"/>
      <c r="Y3" s="751"/>
    </row>
    <row r="4" spans="1:25" x14ac:dyDescent="0.2">
      <c r="A4" s="126"/>
      <c r="B4" s="127"/>
      <c r="C4" s="127"/>
      <c r="D4" s="127"/>
      <c r="E4" s="128"/>
      <c r="F4" s="128"/>
      <c r="G4" s="128"/>
      <c r="H4" s="128"/>
      <c r="I4" s="129"/>
      <c r="J4" s="129">
        <f>SUM(J6:J23)</f>
        <v>377.28</v>
      </c>
      <c r="K4" s="128"/>
      <c r="L4" s="130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8">
        <f>SUM(W6:W23)</f>
        <v>0</v>
      </c>
      <c r="X4" s="131">
        <f>SUM(X6:X23)</f>
        <v>0</v>
      </c>
      <c r="Y4" s="131">
        <f>SUM(Y6:Y23)</f>
        <v>0</v>
      </c>
    </row>
    <row r="5" spans="1:25" x14ac:dyDescent="0.2">
      <c r="A5" s="132"/>
      <c r="B5" s="133"/>
      <c r="C5" s="133"/>
      <c r="D5" s="133"/>
      <c r="E5" s="134"/>
      <c r="F5" s="134"/>
      <c r="G5" s="134"/>
      <c r="H5" s="134"/>
      <c r="I5" s="135"/>
      <c r="J5" s="135"/>
      <c r="K5" s="134"/>
      <c r="L5" s="136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5"/>
      <c r="X5" s="137"/>
      <c r="Y5" s="137"/>
    </row>
    <row r="6" spans="1:25" s="176" customFormat="1" ht="15" x14ac:dyDescent="0.25">
      <c r="A6" s="157" t="s">
        <v>333</v>
      </c>
      <c r="B6" s="158" t="s">
        <v>334</v>
      </c>
      <c r="C6" s="158"/>
      <c r="D6" s="507">
        <f>VLOOKUP(C6,'Seznam HS - nemaš'!$A$1:$B$96,2,FALSE)</f>
        <v>0</v>
      </c>
      <c r="E6" s="159" t="s">
        <v>335</v>
      </c>
      <c r="F6" s="160" t="s">
        <v>336</v>
      </c>
      <c r="G6" s="160"/>
      <c r="H6" s="161">
        <f>+IF(ISBLANK(I6),0,VLOOKUP(I6,'8Příloha_2_ceník_pravid_úklid'!$B$9:$C$30,2,0))</f>
        <v>8</v>
      </c>
      <c r="I6" s="162" t="s">
        <v>11</v>
      </c>
      <c r="J6" s="163">
        <v>18.5</v>
      </c>
      <c r="K6" s="159" t="s">
        <v>337</v>
      </c>
      <c r="L6" s="175" t="s">
        <v>338</v>
      </c>
      <c r="M6" s="159" t="s">
        <v>49</v>
      </c>
      <c r="N6" s="165">
        <f>IF((VLOOKUP(I6,'8Příloha_2_ceník_pravid_úklid'!$B$9:$I$30,8,0))=0,VLOOKUP(I6,'8Příloha_2_ceník_pravid_úklid'!$B$9:$K$30,10,0),VLOOKUP(I6,'8Příloha_2_ceník_pravid_úklid'!$B$9:$I$30,8,0))</f>
        <v>0</v>
      </c>
      <c r="O6" s="166">
        <v>1</v>
      </c>
      <c r="P6" s="166">
        <f>2/5</f>
        <v>0.4</v>
      </c>
      <c r="Q6" s="166">
        <v>0</v>
      </c>
      <c r="R6" s="166">
        <v>0</v>
      </c>
      <c r="S6" s="167">
        <f>NETWORKDAYS.INTL(DATE(2018,1,1),DATE(2018,12,31),1,{"2018/1/1";"2018/3/30";"2018/4/2";"2018/5/1";"2018/5/8";"2018/7/5";"2018/7/6";"2018/09/28";"2018/11/17";"2018/12/24";"2018/12/25";"2018/12/26"})</f>
        <v>250</v>
      </c>
      <c r="T6" s="167">
        <f t="shared" ref="T6:T23" si="0">U6-S6</f>
        <v>115</v>
      </c>
      <c r="U6" s="167">
        <f t="shared" ref="U6:U23" si="1">_xlfn.DAYS("1.1.2019","1.1.2018")</f>
        <v>365</v>
      </c>
      <c r="V6" s="552">
        <f t="shared" ref="V6:V22" si="2">ROUND(O6*P6*S6+Q6*R6*T6,2)</f>
        <v>100</v>
      </c>
      <c r="W6" s="169">
        <f t="shared" ref="W6:W22" si="3">ROUND(IF(N6="neoceňuje se",+J6*0*V6,J6*N6*V6),2)</f>
        <v>0</v>
      </c>
      <c r="X6" s="170">
        <f t="shared" ref="X6:X22" si="4">ROUND(W6*1.21,2)</f>
        <v>0</v>
      </c>
      <c r="Y6" s="170">
        <v>0</v>
      </c>
    </row>
    <row r="7" spans="1:25" ht="15" x14ac:dyDescent="0.25">
      <c r="A7" s="138" t="s">
        <v>339</v>
      </c>
      <c r="B7" s="148" t="s">
        <v>54</v>
      </c>
      <c r="C7" s="148"/>
      <c r="D7" s="139">
        <f>VLOOKUP(C7,'Seznam HS - nemaš'!$A$1:$B$96,2,FALSE)</f>
        <v>0</v>
      </c>
      <c r="E7" s="149"/>
      <c r="F7" s="150" t="s">
        <v>340</v>
      </c>
      <c r="G7" s="150" t="s">
        <v>341</v>
      </c>
      <c r="H7" s="534">
        <f>+IF(ISBLANK(I7),0,VLOOKUP(I7,'8Příloha_2_ceník_pravid_úklid'!$B$9:$C$30,2,0))</f>
        <v>17</v>
      </c>
      <c r="I7" s="24" t="s">
        <v>13</v>
      </c>
      <c r="J7" s="151">
        <f>4.15*4</f>
        <v>16.600000000000001</v>
      </c>
      <c r="K7" s="24" t="s">
        <v>50</v>
      </c>
      <c r="L7" s="152" t="s">
        <v>342</v>
      </c>
      <c r="M7" s="29" t="s">
        <v>49</v>
      </c>
      <c r="N7" s="24">
        <f>IF((VLOOKUP(I7,'8Příloha_2_ceník_pravid_úklid'!$B$9:$I$30,8,0))=0,VLOOKUP(I7,'8Příloha_2_ceník_pravid_úklid'!$B$9:$K$30,10,0),VLOOKUP(I7,'8Příloha_2_ceník_pravid_úklid'!$B$9:$I$30,8,0))</f>
        <v>0</v>
      </c>
      <c r="O7" s="20">
        <v>1</v>
      </c>
      <c r="P7" s="20">
        <f>3/5</f>
        <v>0.6</v>
      </c>
      <c r="Q7" s="20">
        <v>0</v>
      </c>
      <c r="R7" s="20">
        <v>0</v>
      </c>
      <c r="S7" s="26">
        <f>NETWORKDAYS.INTL(DATE(2018,1,1),DATE(2018,12,31),1,{"2018/1/1";"2018/3/30";"2018/4/2";"2018/5/1";"2018/5/8";"2018/7/5";"2018/7/6";"2018/09/28";"2018/11/17";"2018/12/24";"2018/12/25";"2018/12/26"})</f>
        <v>250</v>
      </c>
      <c r="T7" s="26">
        <f t="shared" si="0"/>
        <v>115</v>
      </c>
      <c r="U7" s="26">
        <f t="shared" si="1"/>
        <v>365</v>
      </c>
      <c r="V7" s="153">
        <f t="shared" si="2"/>
        <v>150</v>
      </c>
      <c r="W7" s="140">
        <f t="shared" si="3"/>
        <v>0</v>
      </c>
      <c r="X7" s="141">
        <f t="shared" si="4"/>
        <v>0</v>
      </c>
      <c r="Y7" s="141">
        <v>0</v>
      </c>
    </row>
    <row r="8" spans="1:25" ht="15" x14ac:dyDescent="0.25">
      <c r="A8" s="138" t="s">
        <v>339</v>
      </c>
      <c r="B8" s="142" t="s">
        <v>54</v>
      </c>
      <c r="C8" s="142"/>
      <c r="D8" s="139">
        <f>VLOOKUP(C8,'Seznam HS - nemaš'!$A$1:$B$96,2,FALSE)</f>
        <v>0</v>
      </c>
      <c r="E8" s="143"/>
      <c r="F8" s="154" t="s">
        <v>340</v>
      </c>
      <c r="G8" s="154" t="s">
        <v>341</v>
      </c>
      <c r="H8" s="30">
        <f>+IF(ISBLANK(I8),0,VLOOKUP(I8,'8Příloha_2_ceník_pravid_úklid'!$B$9:$C$30,2,0))</f>
        <v>17</v>
      </c>
      <c r="I8" s="19" t="s">
        <v>13</v>
      </c>
      <c r="J8" s="155">
        <f>4.15*4</f>
        <v>16.600000000000001</v>
      </c>
      <c r="K8" s="19" t="s">
        <v>50</v>
      </c>
      <c r="L8" s="156" t="s">
        <v>342</v>
      </c>
      <c r="M8" s="22" t="s">
        <v>49</v>
      </c>
      <c r="N8" s="19">
        <f>IF((VLOOKUP(I8,'8Příloha_2_ceník_pravid_úklid'!$B$9:$I$30,8,0))=0,VLOOKUP(I8,'8Příloha_2_ceník_pravid_úklid'!$B$9:$K$30,10,0),VLOOKUP(I8,'8Příloha_2_ceník_pravid_úklid'!$B$9:$I$30,8,0))</f>
        <v>0</v>
      </c>
      <c r="O8" s="20">
        <v>1</v>
      </c>
      <c r="P8" s="20">
        <f>3/5</f>
        <v>0.6</v>
      </c>
      <c r="Q8" s="20">
        <v>0</v>
      </c>
      <c r="R8" s="20">
        <v>0</v>
      </c>
      <c r="S8" s="21">
        <f>NETWORKDAYS.INTL(DATE(2018,1,1),DATE(2018,12,31),1,{"2018/1/1";"2018/3/30";"2018/4/2";"2018/5/1";"2018/5/8";"2018/7/5";"2018/7/6";"2018/09/28";"2018/11/17";"2018/12/24";"2018/12/25";"2018/12/26"})</f>
        <v>250</v>
      </c>
      <c r="T8" s="21">
        <f t="shared" si="0"/>
        <v>115</v>
      </c>
      <c r="U8" s="21">
        <f t="shared" si="1"/>
        <v>365</v>
      </c>
      <c r="V8" s="144">
        <f t="shared" si="2"/>
        <v>150</v>
      </c>
      <c r="W8" s="140">
        <f t="shared" si="3"/>
        <v>0</v>
      </c>
      <c r="X8" s="141">
        <f t="shared" si="4"/>
        <v>0</v>
      </c>
      <c r="Y8" s="141">
        <v>0</v>
      </c>
    </row>
    <row r="9" spans="1:25" ht="15" x14ac:dyDescent="0.25">
      <c r="A9" s="157" t="s">
        <v>327</v>
      </c>
      <c r="B9" s="158" t="s">
        <v>54</v>
      </c>
      <c r="C9" s="158"/>
      <c r="D9" s="212">
        <f>VLOOKUP(C9,'Seznam HS - nemaš'!$A$1:$B$96,2,FALSE)</f>
        <v>0</v>
      </c>
      <c r="E9" s="159" t="s">
        <v>343</v>
      </c>
      <c r="F9" s="160" t="s">
        <v>336</v>
      </c>
      <c r="G9" s="160"/>
      <c r="H9" s="161">
        <f>+IF(ISBLANK(I9),0,VLOOKUP(I9,'8Příloha_2_ceník_pravid_úklid'!$B$9:$C$30,2,0))</f>
        <v>8</v>
      </c>
      <c r="I9" s="162" t="s">
        <v>11</v>
      </c>
      <c r="J9" s="163">
        <v>27.54</v>
      </c>
      <c r="K9" s="159" t="s">
        <v>337</v>
      </c>
      <c r="L9" s="164" t="s">
        <v>21</v>
      </c>
      <c r="M9" s="159" t="s">
        <v>49</v>
      </c>
      <c r="N9" s="165">
        <f>IF((VLOOKUP(I9,'8Příloha_2_ceník_pravid_úklid'!$B$9:$I$30,8,0))=0,VLOOKUP(I9,'8Příloha_2_ceník_pravid_úklid'!$B$9:$K$30,10,0),VLOOKUP(I9,'8Příloha_2_ceník_pravid_úklid'!$B$9:$I$30,8,0))</f>
        <v>0</v>
      </c>
      <c r="O9" s="166">
        <v>1</v>
      </c>
      <c r="P9" s="166">
        <v>1</v>
      </c>
      <c r="Q9" s="166">
        <v>0</v>
      </c>
      <c r="R9" s="166">
        <v>0</v>
      </c>
      <c r="S9" s="167">
        <f>NETWORKDAYS.INTL(DATE(2018,1,1),DATE(2018,12,31),1,{"2018/1/1";"2018/3/30";"2018/4/2";"2018/5/1";"2018/5/8";"2018/7/5";"2018/7/6";"2018/09/28";"2018/11/17";"2018/12/24";"2018/12/25";"2018/12/26"})</f>
        <v>250</v>
      </c>
      <c r="T9" s="167">
        <f t="shared" si="0"/>
        <v>115</v>
      </c>
      <c r="U9" s="167">
        <f t="shared" si="1"/>
        <v>365</v>
      </c>
      <c r="V9" s="168">
        <f t="shared" si="2"/>
        <v>250</v>
      </c>
      <c r="W9" s="169">
        <f t="shared" si="3"/>
        <v>0</v>
      </c>
      <c r="X9" s="170">
        <f t="shared" si="4"/>
        <v>0</v>
      </c>
      <c r="Y9" s="170">
        <v>0</v>
      </c>
    </row>
    <row r="10" spans="1:25" ht="15" x14ac:dyDescent="0.25">
      <c r="A10" s="171" t="s">
        <v>327</v>
      </c>
      <c r="B10" s="148" t="s">
        <v>328</v>
      </c>
      <c r="C10" s="148"/>
      <c r="D10" s="139">
        <f>VLOOKUP(C10,'Seznam HS - nemaš'!$A$1:$B$96,2,FALSE)</f>
        <v>0</v>
      </c>
      <c r="E10" s="29" t="s">
        <v>344</v>
      </c>
      <c r="F10" s="150" t="s">
        <v>336</v>
      </c>
      <c r="G10" s="150"/>
      <c r="H10" s="28">
        <f>+IF(ISBLANK(I10),0,VLOOKUP(I10,'8Příloha_2_ceník_pravid_úklid'!$B$9:$C$30,2,0))</f>
        <v>8</v>
      </c>
      <c r="I10" s="149" t="s">
        <v>11</v>
      </c>
      <c r="J10" s="172">
        <v>27.54</v>
      </c>
      <c r="K10" s="29" t="s">
        <v>337</v>
      </c>
      <c r="L10" s="152" t="s">
        <v>21</v>
      </c>
      <c r="M10" s="29" t="s">
        <v>49</v>
      </c>
      <c r="N10" s="24">
        <f>IF((VLOOKUP(I10,'8Příloha_2_ceník_pravid_úklid'!$B$9:$I$30,8,0))=0,VLOOKUP(I10,'8Příloha_2_ceník_pravid_úklid'!$B$9:$K$30,10,0),VLOOKUP(I10,'8Příloha_2_ceník_pravid_úklid'!$B$9:$I$30,8,0))</f>
        <v>0</v>
      </c>
      <c r="O10" s="25">
        <v>1</v>
      </c>
      <c r="P10" s="25">
        <v>1</v>
      </c>
      <c r="Q10" s="25">
        <v>0</v>
      </c>
      <c r="R10" s="25">
        <v>0</v>
      </c>
      <c r="S10" s="26">
        <f>NETWORKDAYS.INTL(DATE(2018,1,1),DATE(2018,12,31),1,{"2018/1/1";"2018/3/30";"2018/4/2";"2018/5/1";"2018/5/8";"2018/7/5";"2018/7/6";"2018/09/28";"2018/11/17";"2018/12/24";"2018/12/25";"2018/12/26"})</f>
        <v>250</v>
      </c>
      <c r="T10" s="26">
        <f t="shared" si="0"/>
        <v>115</v>
      </c>
      <c r="U10" s="26">
        <f t="shared" si="1"/>
        <v>365</v>
      </c>
      <c r="V10" s="153">
        <f t="shared" si="2"/>
        <v>250</v>
      </c>
      <c r="W10" s="173">
        <f t="shared" si="3"/>
        <v>0</v>
      </c>
      <c r="X10" s="174">
        <f t="shared" si="4"/>
        <v>0</v>
      </c>
      <c r="Y10" s="174">
        <v>0</v>
      </c>
    </row>
    <row r="11" spans="1:25" ht="15" x14ac:dyDescent="0.25">
      <c r="A11" s="138" t="s">
        <v>327</v>
      </c>
      <c r="B11" s="142" t="s">
        <v>328</v>
      </c>
      <c r="C11" s="142"/>
      <c r="D11" s="139">
        <f>VLOOKUP(C11,'Seznam HS - nemaš'!$A$1:$B$96,2,FALSE)</f>
        <v>0</v>
      </c>
      <c r="E11" s="22" t="s">
        <v>345</v>
      </c>
      <c r="F11" s="154" t="s">
        <v>53</v>
      </c>
      <c r="G11" s="154" t="s">
        <v>346</v>
      </c>
      <c r="H11" s="30">
        <f>+IF(ISBLANK(I11),0,VLOOKUP(I11,'8Příloha_2_ceník_pravid_úklid'!$B$9:$C$30,2,0))</f>
        <v>6</v>
      </c>
      <c r="I11" s="143" t="s">
        <v>1</v>
      </c>
      <c r="J11" s="145">
        <v>7.79</v>
      </c>
      <c r="K11" s="22" t="s">
        <v>50</v>
      </c>
      <c r="L11" s="156" t="s">
        <v>21</v>
      </c>
      <c r="M11" s="22" t="s">
        <v>49</v>
      </c>
      <c r="N11" s="19">
        <f>IF((VLOOKUP(I11,'8Příloha_2_ceník_pravid_úklid'!$B$9:$I$30,8,0))=0,VLOOKUP(I11,'8Příloha_2_ceník_pravid_úklid'!$B$9:$K$30,10,0),VLOOKUP(I11,'8Příloha_2_ceník_pravid_úklid'!$B$9:$I$30,8,0))</f>
        <v>0</v>
      </c>
      <c r="O11" s="20">
        <v>1</v>
      </c>
      <c r="P11" s="20">
        <v>1</v>
      </c>
      <c r="Q11" s="20">
        <v>0</v>
      </c>
      <c r="R11" s="20">
        <v>0</v>
      </c>
      <c r="S11" s="21">
        <f>NETWORKDAYS.INTL(DATE(2018,1,1),DATE(2018,12,31),1,{"2018/1/1";"2018/3/30";"2018/4/2";"2018/5/1";"2018/5/8";"2018/7/5";"2018/7/6";"2018/09/28";"2018/11/17";"2018/12/24";"2018/12/25";"2018/12/26"})</f>
        <v>250</v>
      </c>
      <c r="T11" s="21">
        <f t="shared" si="0"/>
        <v>115</v>
      </c>
      <c r="U11" s="21">
        <f t="shared" si="1"/>
        <v>365</v>
      </c>
      <c r="V11" s="144">
        <f t="shared" si="2"/>
        <v>250</v>
      </c>
      <c r="W11" s="140">
        <f t="shared" si="3"/>
        <v>0</v>
      </c>
      <c r="X11" s="141">
        <f t="shared" si="4"/>
        <v>0</v>
      </c>
      <c r="Y11" s="141">
        <v>0</v>
      </c>
    </row>
    <row r="12" spans="1:25" ht="15" x14ac:dyDescent="0.25">
      <c r="A12" s="138" t="s">
        <v>327</v>
      </c>
      <c r="B12" s="142" t="s">
        <v>328</v>
      </c>
      <c r="C12" s="142"/>
      <c r="D12" s="139">
        <f>VLOOKUP(C12,'Seznam HS - nemaš'!$A$1:$B$96,2,FALSE)</f>
        <v>0</v>
      </c>
      <c r="E12" s="22" t="s">
        <v>347</v>
      </c>
      <c r="F12" s="154" t="s">
        <v>53</v>
      </c>
      <c r="G12" s="154" t="s">
        <v>348</v>
      </c>
      <c r="H12" s="30">
        <f>+IF(ISBLANK(I12),0,VLOOKUP(I12,'8Příloha_2_ceník_pravid_úklid'!$B$9:$C$30,2,0))</f>
        <v>6</v>
      </c>
      <c r="I12" s="143" t="s">
        <v>1</v>
      </c>
      <c r="J12" s="145">
        <v>22.42</v>
      </c>
      <c r="K12" s="22" t="s">
        <v>64</v>
      </c>
      <c r="L12" s="156" t="s">
        <v>21</v>
      </c>
      <c r="M12" s="22" t="s">
        <v>49</v>
      </c>
      <c r="N12" s="19">
        <f>IF((VLOOKUP(I12,'8Příloha_2_ceník_pravid_úklid'!$B$9:$I$30,8,0))=0,VLOOKUP(I12,'8Příloha_2_ceník_pravid_úklid'!$B$9:$K$30,10,0),VLOOKUP(I12,'8Příloha_2_ceník_pravid_úklid'!$B$9:$I$30,8,0))</f>
        <v>0</v>
      </c>
      <c r="O12" s="20">
        <v>1</v>
      </c>
      <c r="P12" s="20">
        <v>1</v>
      </c>
      <c r="Q12" s="20">
        <v>0</v>
      </c>
      <c r="R12" s="20">
        <v>0</v>
      </c>
      <c r="S12" s="21">
        <f>NETWORKDAYS.INTL(DATE(2018,1,1),DATE(2018,12,31),1,{"2018/1/1";"2018/3/30";"2018/4/2";"2018/5/1";"2018/5/8";"2018/7/5";"2018/7/6";"2018/09/28";"2018/11/17";"2018/12/24";"2018/12/25";"2018/12/26"})</f>
        <v>250</v>
      </c>
      <c r="T12" s="21">
        <f t="shared" si="0"/>
        <v>115</v>
      </c>
      <c r="U12" s="21">
        <f t="shared" si="1"/>
        <v>365</v>
      </c>
      <c r="V12" s="144">
        <f t="shared" si="2"/>
        <v>250</v>
      </c>
      <c r="W12" s="140">
        <f t="shared" si="3"/>
        <v>0</v>
      </c>
      <c r="X12" s="141">
        <f t="shared" si="4"/>
        <v>0</v>
      </c>
      <c r="Y12" s="141">
        <v>0</v>
      </c>
    </row>
    <row r="13" spans="1:25" ht="15" x14ac:dyDescent="0.25">
      <c r="A13" s="138" t="s">
        <v>327</v>
      </c>
      <c r="B13" s="142" t="s">
        <v>328</v>
      </c>
      <c r="C13" s="142"/>
      <c r="D13" s="139">
        <f>VLOOKUP(C13,'Seznam HS - nemaš'!$A$1:$B$96,2,FALSE)</f>
        <v>0</v>
      </c>
      <c r="E13" s="22" t="s">
        <v>349</v>
      </c>
      <c r="F13" s="154" t="s">
        <v>350</v>
      </c>
      <c r="G13" s="154" t="s">
        <v>351</v>
      </c>
      <c r="H13" s="30">
        <f>+IF(ISBLANK(I13),0,VLOOKUP(I13,'8Příloha_2_ceník_pravid_úklid'!$B$9:$C$30,2,0))</f>
        <v>6</v>
      </c>
      <c r="I13" s="143" t="s">
        <v>1</v>
      </c>
      <c r="J13" s="145">
        <v>15.8</v>
      </c>
      <c r="K13" s="22" t="s">
        <v>51</v>
      </c>
      <c r="L13" s="156" t="s">
        <v>21</v>
      </c>
      <c r="M13" s="22" t="s">
        <v>49</v>
      </c>
      <c r="N13" s="19">
        <f>IF((VLOOKUP(I13,'8Příloha_2_ceník_pravid_úklid'!$B$9:$I$30,8,0))=0,VLOOKUP(I13,'8Příloha_2_ceník_pravid_úklid'!$B$9:$K$30,10,0),VLOOKUP(I13,'8Příloha_2_ceník_pravid_úklid'!$B$9:$I$30,8,0))</f>
        <v>0</v>
      </c>
      <c r="O13" s="20">
        <v>1</v>
      </c>
      <c r="P13" s="20">
        <v>1</v>
      </c>
      <c r="Q13" s="20">
        <v>0</v>
      </c>
      <c r="R13" s="20">
        <v>0</v>
      </c>
      <c r="S13" s="21">
        <f>NETWORKDAYS.INTL(DATE(2018,1,1),DATE(2018,12,31),1,{"2018/1/1";"2018/3/30";"2018/4/2";"2018/5/1";"2018/5/8";"2018/7/5";"2018/7/6";"2018/09/28";"2018/11/17";"2018/12/24";"2018/12/25";"2018/12/26"})</f>
        <v>250</v>
      </c>
      <c r="T13" s="21">
        <f t="shared" si="0"/>
        <v>115</v>
      </c>
      <c r="U13" s="21">
        <f t="shared" si="1"/>
        <v>365</v>
      </c>
      <c r="V13" s="144">
        <f t="shared" si="2"/>
        <v>250</v>
      </c>
      <c r="W13" s="140">
        <f t="shared" si="3"/>
        <v>0</v>
      </c>
      <c r="X13" s="141">
        <f t="shared" si="4"/>
        <v>0</v>
      </c>
      <c r="Y13" s="141">
        <v>0</v>
      </c>
    </row>
    <row r="14" spans="1:25" ht="15" x14ac:dyDescent="0.25">
      <c r="A14" s="138" t="s">
        <v>327</v>
      </c>
      <c r="B14" s="142" t="s">
        <v>328</v>
      </c>
      <c r="C14" s="142" t="s">
        <v>254</v>
      </c>
      <c r="D14" s="139" t="str">
        <f>VLOOKUP(C14,'Seznam HS - nemaš'!$A$1:$B$96,2,FALSE)</f>
        <v>485000</v>
      </c>
      <c r="E14" s="22" t="s">
        <v>352</v>
      </c>
      <c r="F14" s="154" t="s">
        <v>329</v>
      </c>
      <c r="G14" s="154" t="s">
        <v>353</v>
      </c>
      <c r="H14" s="30">
        <f>+IF(ISBLANK(I14),0,VLOOKUP(I14,'8Příloha_2_ceník_pravid_úklid'!$B$9:$C$30,2,0))</f>
        <v>4</v>
      </c>
      <c r="I14" s="143" t="s">
        <v>9</v>
      </c>
      <c r="J14" s="145">
        <v>17.28</v>
      </c>
      <c r="K14" s="22" t="s">
        <v>51</v>
      </c>
      <c r="L14" s="146" t="s">
        <v>338</v>
      </c>
      <c r="M14" s="22" t="s">
        <v>49</v>
      </c>
      <c r="N14" s="19">
        <f>IF((VLOOKUP(I14,'8Příloha_2_ceník_pravid_úklid'!$B$9:$I$30,8,0))=0,VLOOKUP(I14,'8Příloha_2_ceník_pravid_úklid'!$B$9:$K$30,10,0),VLOOKUP(I14,'8Příloha_2_ceník_pravid_úklid'!$B$9:$I$30,8,0))</f>
        <v>0</v>
      </c>
      <c r="O14" s="20">
        <v>1</v>
      </c>
      <c r="P14" s="20">
        <v>0.4</v>
      </c>
      <c r="Q14" s="20">
        <v>0</v>
      </c>
      <c r="R14" s="20">
        <v>0</v>
      </c>
      <c r="S14" s="21">
        <f>NETWORKDAYS.INTL(DATE(2018,1,1),DATE(2018,12,31),1,{"2018/1/1";"2018/3/30";"2018/4/2";"2018/5/1";"2018/5/8";"2018/7/5";"2018/7/6";"2018/09/28";"2018/11/17";"2018/12/24";"2018/12/25";"2018/12/26"})</f>
        <v>250</v>
      </c>
      <c r="T14" s="21">
        <f t="shared" si="0"/>
        <v>115</v>
      </c>
      <c r="U14" s="21">
        <f t="shared" si="1"/>
        <v>365</v>
      </c>
      <c r="V14" s="144">
        <f t="shared" si="2"/>
        <v>100</v>
      </c>
      <c r="W14" s="140">
        <f t="shared" si="3"/>
        <v>0</v>
      </c>
      <c r="X14" s="141">
        <f t="shared" si="4"/>
        <v>0</v>
      </c>
      <c r="Y14" s="141">
        <v>0</v>
      </c>
    </row>
    <row r="15" spans="1:25" ht="15" x14ac:dyDescent="0.25">
      <c r="A15" s="138" t="s">
        <v>327</v>
      </c>
      <c r="B15" s="142" t="s">
        <v>328</v>
      </c>
      <c r="C15" s="142" t="s">
        <v>242</v>
      </c>
      <c r="D15" s="139" t="str">
        <f>VLOOKUP(C15,'Seznam HS - nemaš'!$A$1:$B$96,2,FALSE)</f>
        <v>481100</v>
      </c>
      <c r="E15" s="22" t="s">
        <v>354</v>
      </c>
      <c r="F15" s="154" t="s">
        <v>329</v>
      </c>
      <c r="G15" s="154" t="s">
        <v>355</v>
      </c>
      <c r="H15" s="30">
        <f>+IF(ISBLANK(I15),0,VLOOKUP(I15,'8Příloha_2_ceník_pravid_úklid'!$B$9:$C$30,2,0))</f>
        <v>4</v>
      </c>
      <c r="I15" s="143" t="s">
        <v>9</v>
      </c>
      <c r="J15" s="145">
        <v>9</v>
      </c>
      <c r="K15" s="22" t="s">
        <v>51</v>
      </c>
      <c r="L15" s="146" t="s">
        <v>338</v>
      </c>
      <c r="M15" s="22" t="s">
        <v>49</v>
      </c>
      <c r="N15" s="19">
        <f>IF((VLOOKUP(I15,'8Příloha_2_ceník_pravid_úklid'!$B$9:$I$30,8,0))=0,VLOOKUP(I15,'8Příloha_2_ceník_pravid_úklid'!$B$9:$K$30,10,0),VLOOKUP(I15,'8Příloha_2_ceník_pravid_úklid'!$B$9:$I$30,8,0))</f>
        <v>0</v>
      </c>
      <c r="O15" s="20">
        <v>1</v>
      </c>
      <c r="P15" s="20">
        <v>0.4</v>
      </c>
      <c r="Q15" s="20">
        <v>0</v>
      </c>
      <c r="R15" s="20">
        <v>0</v>
      </c>
      <c r="S15" s="21">
        <f>NETWORKDAYS.INTL(DATE(2018,1,1),DATE(2018,12,31),1,{"2018/1/1";"2018/3/30";"2018/4/2";"2018/5/1";"2018/5/8";"2018/7/5";"2018/7/6";"2018/09/28";"2018/11/17";"2018/12/24";"2018/12/25";"2018/12/26"})</f>
        <v>250</v>
      </c>
      <c r="T15" s="21">
        <f t="shared" si="0"/>
        <v>115</v>
      </c>
      <c r="U15" s="21">
        <f t="shared" si="1"/>
        <v>365</v>
      </c>
      <c r="V15" s="144">
        <f t="shared" si="2"/>
        <v>100</v>
      </c>
      <c r="W15" s="140">
        <f t="shared" si="3"/>
        <v>0</v>
      </c>
      <c r="X15" s="141">
        <f t="shared" si="4"/>
        <v>0</v>
      </c>
      <c r="Y15" s="141">
        <v>0</v>
      </c>
    </row>
    <row r="16" spans="1:25" ht="15" x14ac:dyDescent="0.25">
      <c r="A16" s="138" t="s">
        <v>327</v>
      </c>
      <c r="B16" s="142" t="s">
        <v>328</v>
      </c>
      <c r="C16" s="142"/>
      <c r="D16" s="139">
        <f>VLOOKUP(C16,'Seznam HS - nemaš'!$A$1:$B$96,2,FALSE)</f>
        <v>0</v>
      </c>
      <c r="E16" s="22" t="s">
        <v>356</v>
      </c>
      <c r="F16" s="154" t="s">
        <v>357</v>
      </c>
      <c r="G16" s="154"/>
      <c r="H16" s="30">
        <f>+IF(ISBLANK(I16),0,VLOOKUP(I16,'8Příloha_2_ceník_pravid_úklid'!$B$9:$C$30,2,0))</f>
        <v>7</v>
      </c>
      <c r="I16" s="143" t="s">
        <v>14</v>
      </c>
      <c r="J16" s="145">
        <v>14.4</v>
      </c>
      <c r="K16" s="22" t="s">
        <v>50</v>
      </c>
      <c r="L16" s="156" t="s">
        <v>21</v>
      </c>
      <c r="M16" s="22" t="s">
        <v>49</v>
      </c>
      <c r="N16" s="19">
        <f>IF((VLOOKUP(I16,'8Příloha_2_ceník_pravid_úklid'!$B$9:$I$30,8,0))=0,VLOOKUP(I16,'8Příloha_2_ceník_pravid_úklid'!$B$9:$K$30,10,0),VLOOKUP(I16,'8Příloha_2_ceník_pravid_úklid'!$B$9:$I$30,8,0))</f>
        <v>0</v>
      </c>
      <c r="O16" s="20">
        <v>1</v>
      </c>
      <c r="P16" s="20">
        <v>1</v>
      </c>
      <c r="Q16" s="20">
        <v>0</v>
      </c>
      <c r="R16" s="20">
        <v>0</v>
      </c>
      <c r="S16" s="21">
        <f>NETWORKDAYS.INTL(DATE(2018,1,1),DATE(2018,12,31),1,{"2018/1/1";"2018/3/30";"2018/4/2";"2018/5/1";"2018/5/8";"2018/7/5";"2018/7/6";"2018/09/28";"2018/11/17";"2018/12/24";"2018/12/25";"2018/12/26"})</f>
        <v>250</v>
      </c>
      <c r="T16" s="21">
        <f t="shared" si="0"/>
        <v>115</v>
      </c>
      <c r="U16" s="21">
        <f t="shared" si="1"/>
        <v>365</v>
      </c>
      <c r="V16" s="144">
        <f t="shared" si="2"/>
        <v>250</v>
      </c>
      <c r="W16" s="140">
        <f t="shared" si="3"/>
        <v>0</v>
      </c>
      <c r="X16" s="141">
        <f t="shared" si="4"/>
        <v>0</v>
      </c>
      <c r="Y16" s="141">
        <v>0</v>
      </c>
    </row>
    <row r="17" spans="1:25" ht="15" x14ac:dyDescent="0.25">
      <c r="A17" s="138" t="s">
        <v>327</v>
      </c>
      <c r="B17" s="142" t="s">
        <v>328</v>
      </c>
      <c r="C17" s="142" t="s">
        <v>258</v>
      </c>
      <c r="D17" s="139" t="str">
        <f>VLOOKUP(C17,'Seznam HS - nemaš'!$A$1:$B$96,2,FALSE)</f>
        <v>486020</v>
      </c>
      <c r="E17" s="22" t="s">
        <v>358</v>
      </c>
      <c r="F17" s="154" t="s">
        <v>329</v>
      </c>
      <c r="G17" s="154" t="s">
        <v>359</v>
      </c>
      <c r="H17" s="30">
        <f>+IF(ISBLANK(I17),0,VLOOKUP(I17,'8Příloha_2_ceník_pravid_úklid'!$B$9:$C$30,2,0))</f>
        <v>4</v>
      </c>
      <c r="I17" s="143" t="s">
        <v>9</v>
      </c>
      <c r="J17" s="145">
        <v>33.64</v>
      </c>
      <c r="K17" s="22" t="s">
        <v>51</v>
      </c>
      <c r="L17" s="146" t="s">
        <v>338</v>
      </c>
      <c r="M17" s="22" t="s">
        <v>49</v>
      </c>
      <c r="N17" s="19">
        <f>IF((VLOOKUP(I17,'8Příloha_2_ceník_pravid_úklid'!$B$9:$I$30,8,0))=0,VLOOKUP(I17,'8Příloha_2_ceník_pravid_úklid'!$B$9:$K$30,10,0),VLOOKUP(I17,'8Příloha_2_ceník_pravid_úklid'!$B$9:$I$30,8,0))</f>
        <v>0</v>
      </c>
      <c r="O17" s="20">
        <v>1</v>
      </c>
      <c r="P17" s="20">
        <f t="shared" ref="P17:P22" si="5">2/5</f>
        <v>0.4</v>
      </c>
      <c r="Q17" s="20">
        <v>0</v>
      </c>
      <c r="R17" s="20">
        <v>0</v>
      </c>
      <c r="S17" s="21">
        <f>NETWORKDAYS.INTL(DATE(2018,1,1),DATE(2018,12,31),1,{"2018/1/1";"2018/3/30";"2018/4/2";"2018/5/1";"2018/5/8";"2018/7/5";"2018/7/6";"2018/09/28";"2018/11/17";"2018/12/24";"2018/12/25";"2018/12/26"})</f>
        <v>250</v>
      </c>
      <c r="T17" s="21">
        <f t="shared" si="0"/>
        <v>115</v>
      </c>
      <c r="U17" s="21">
        <f t="shared" si="1"/>
        <v>365</v>
      </c>
      <c r="V17" s="144">
        <f t="shared" si="2"/>
        <v>100</v>
      </c>
      <c r="W17" s="140">
        <f t="shared" si="3"/>
        <v>0</v>
      </c>
      <c r="X17" s="141">
        <f t="shared" si="4"/>
        <v>0</v>
      </c>
      <c r="Y17" s="141">
        <v>0</v>
      </c>
    </row>
    <row r="18" spans="1:25" ht="15" x14ac:dyDescent="0.25">
      <c r="A18" s="138" t="s">
        <v>327</v>
      </c>
      <c r="B18" s="142" t="s">
        <v>328</v>
      </c>
      <c r="C18" s="142" t="s">
        <v>244</v>
      </c>
      <c r="D18" s="139" t="str">
        <f>VLOOKUP(C18,'Seznam HS - nemaš'!$A$1:$B$96,2,FALSE)</f>
        <v>482040</v>
      </c>
      <c r="E18" s="22" t="s">
        <v>360</v>
      </c>
      <c r="F18" s="154" t="s">
        <v>329</v>
      </c>
      <c r="G18" s="154" t="s">
        <v>361</v>
      </c>
      <c r="H18" s="30">
        <f>+IF(ISBLANK(I18),0,VLOOKUP(I18,'8Příloha_2_ceník_pravid_úklid'!$B$9:$C$30,2,0))</f>
        <v>4</v>
      </c>
      <c r="I18" s="143" t="s">
        <v>9</v>
      </c>
      <c r="J18" s="145">
        <v>15.66</v>
      </c>
      <c r="K18" s="22" t="s">
        <v>51</v>
      </c>
      <c r="L18" s="146" t="s">
        <v>338</v>
      </c>
      <c r="M18" s="22" t="s">
        <v>49</v>
      </c>
      <c r="N18" s="19">
        <f>IF((VLOOKUP(I18,'8Příloha_2_ceník_pravid_úklid'!$B$9:$I$30,8,0))=0,VLOOKUP(I18,'8Příloha_2_ceník_pravid_úklid'!$B$9:$K$30,10,0),VLOOKUP(I18,'8Příloha_2_ceník_pravid_úklid'!$B$9:$I$30,8,0))</f>
        <v>0</v>
      </c>
      <c r="O18" s="20">
        <v>1</v>
      </c>
      <c r="P18" s="20">
        <f t="shared" si="5"/>
        <v>0.4</v>
      </c>
      <c r="Q18" s="20">
        <v>0</v>
      </c>
      <c r="R18" s="20">
        <v>0</v>
      </c>
      <c r="S18" s="21">
        <f>NETWORKDAYS.INTL(DATE(2018,1,1),DATE(2018,12,31),1,{"2018/1/1";"2018/3/30";"2018/4/2";"2018/5/1";"2018/5/8";"2018/7/5";"2018/7/6";"2018/09/28";"2018/11/17";"2018/12/24";"2018/12/25";"2018/12/26"})</f>
        <v>250</v>
      </c>
      <c r="T18" s="21">
        <f t="shared" si="0"/>
        <v>115</v>
      </c>
      <c r="U18" s="21">
        <f t="shared" si="1"/>
        <v>365</v>
      </c>
      <c r="V18" s="144">
        <f t="shared" si="2"/>
        <v>100</v>
      </c>
      <c r="W18" s="140">
        <f t="shared" si="3"/>
        <v>0</v>
      </c>
      <c r="X18" s="141">
        <f t="shared" si="4"/>
        <v>0</v>
      </c>
      <c r="Y18" s="141">
        <v>0</v>
      </c>
    </row>
    <row r="19" spans="1:25" ht="15" x14ac:dyDescent="0.25">
      <c r="A19" s="138" t="s">
        <v>327</v>
      </c>
      <c r="B19" s="142" t="s">
        <v>328</v>
      </c>
      <c r="C19" s="142" t="s">
        <v>244</v>
      </c>
      <c r="D19" s="139" t="str">
        <f>VLOOKUP(C19,'Seznam HS - nemaš'!$A$1:$B$96,2,FALSE)</f>
        <v>482040</v>
      </c>
      <c r="E19" s="22" t="s">
        <v>362</v>
      </c>
      <c r="F19" s="154" t="s">
        <v>329</v>
      </c>
      <c r="G19" s="154" t="s">
        <v>363</v>
      </c>
      <c r="H19" s="30">
        <f>+IF(ISBLANK(I19),0,VLOOKUP(I19,'8Příloha_2_ceník_pravid_úklid'!$B$9:$C$30,2,0))</f>
        <v>4</v>
      </c>
      <c r="I19" s="143" t="s">
        <v>9</v>
      </c>
      <c r="J19" s="145">
        <v>19.14</v>
      </c>
      <c r="K19" s="22" t="s">
        <v>51</v>
      </c>
      <c r="L19" s="146" t="s">
        <v>338</v>
      </c>
      <c r="M19" s="22" t="s">
        <v>49</v>
      </c>
      <c r="N19" s="19">
        <f>IF((VLOOKUP(I19,'8Příloha_2_ceník_pravid_úklid'!$B$9:$I$30,8,0))=0,VLOOKUP(I19,'8Příloha_2_ceník_pravid_úklid'!$B$9:$K$30,10,0),VLOOKUP(I19,'8Příloha_2_ceník_pravid_úklid'!$B$9:$I$30,8,0))</f>
        <v>0</v>
      </c>
      <c r="O19" s="20">
        <v>1</v>
      </c>
      <c r="P19" s="20">
        <f t="shared" si="5"/>
        <v>0.4</v>
      </c>
      <c r="Q19" s="20">
        <v>0</v>
      </c>
      <c r="R19" s="20">
        <v>0</v>
      </c>
      <c r="S19" s="21">
        <f>NETWORKDAYS.INTL(DATE(2018,1,1),DATE(2018,12,31),1,{"2018/1/1";"2018/3/30";"2018/4/2";"2018/5/1";"2018/5/8";"2018/7/5";"2018/7/6";"2018/09/28";"2018/11/17";"2018/12/24";"2018/12/25";"2018/12/26"})</f>
        <v>250</v>
      </c>
      <c r="T19" s="21">
        <f t="shared" si="0"/>
        <v>115</v>
      </c>
      <c r="U19" s="21">
        <f t="shared" si="1"/>
        <v>365</v>
      </c>
      <c r="V19" s="144">
        <f t="shared" si="2"/>
        <v>100</v>
      </c>
      <c r="W19" s="140">
        <f t="shared" si="3"/>
        <v>0</v>
      </c>
      <c r="X19" s="141">
        <f t="shared" si="4"/>
        <v>0</v>
      </c>
      <c r="Y19" s="141">
        <v>0</v>
      </c>
    </row>
    <row r="20" spans="1:25" ht="15" x14ac:dyDescent="0.25">
      <c r="A20" s="138" t="s">
        <v>327</v>
      </c>
      <c r="B20" s="142" t="s">
        <v>328</v>
      </c>
      <c r="C20" s="142" t="s">
        <v>254</v>
      </c>
      <c r="D20" s="139" t="str">
        <f>VLOOKUP(C20,'Seznam HS - nemaš'!$A$1:$B$96,2,FALSE)</f>
        <v>485000</v>
      </c>
      <c r="E20" s="22" t="s">
        <v>364</v>
      </c>
      <c r="F20" s="154" t="s">
        <v>329</v>
      </c>
      <c r="G20" s="154" t="s">
        <v>365</v>
      </c>
      <c r="H20" s="30">
        <f>+IF(ISBLANK(I20),0,VLOOKUP(I20,'8Příloha_2_ceník_pravid_úklid'!$B$9:$C$30,2,0))</f>
        <v>4</v>
      </c>
      <c r="I20" s="143" t="s">
        <v>9</v>
      </c>
      <c r="J20" s="145">
        <v>19.14</v>
      </c>
      <c r="K20" s="22" t="s">
        <v>51</v>
      </c>
      <c r="L20" s="146" t="s">
        <v>338</v>
      </c>
      <c r="M20" s="22" t="s">
        <v>49</v>
      </c>
      <c r="N20" s="19">
        <f>IF((VLOOKUP(I20,'8Příloha_2_ceník_pravid_úklid'!$B$9:$I$30,8,0))=0,VLOOKUP(I20,'8Příloha_2_ceník_pravid_úklid'!$B$9:$K$30,10,0),VLOOKUP(I20,'8Příloha_2_ceník_pravid_úklid'!$B$9:$I$30,8,0))</f>
        <v>0</v>
      </c>
      <c r="O20" s="20">
        <v>1</v>
      </c>
      <c r="P20" s="20">
        <f t="shared" si="5"/>
        <v>0.4</v>
      </c>
      <c r="Q20" s="20">
        <v>0</v>
      </c>
      <c r="R20" s="20">
        <v>0</v>
      </c>
      <c r="S20" s="21">
        <f>NETWORKDAYS.INTL(DATE(2018,1,1),DATE(2018,12,31),1,{"2018/1/1";"2018/3/30";"2018/4/2";"2018/5/1";"2018/5/8";"2018/7/5";"2018/7/6";"2018/09/28";"2018/11/17";"2018/12/24";"2018/12/25";"2018/12/26"})</f>
        <v>250</v>
      </c>
      <c r="T20" s="21">
        <f t="shared" si="0"/>
        <v>115</v>
      </c>
      <c r="U20" s="21">
        <f t="shared" si="1"/>
        <v>365</v>
      </c>
      <c r="V20" s="144">
        <f t="shared" si="2"/>
        <v>100</v>
      </c>
      <c r="W20" s="140">
        <f t="shared" si="3"/>
        <v>0</v>
      </c>
      <c r="X20" s="141">
        <f t="shared" si="4"/>
        <v>0</v>
      </c>
      <c r="Y20" s="141">
        <v>0</v>
      </c>
    </row>
    <row r="21" spans="1:25" ht="15" x14ac:dyDescent="0.25">
      <c r="A21" s="138" t="s">
        <v>327</v>
      </c>
      <c r="B21" s="142" t="s">
        <v>328</v>
      </c>
      <c r="C21" s="142" t="s">
        <v>254</v>
      </c>
      <c r="D21" s="139" t="str">
        <f>VLOOKUP(C21,'Seznam HS - nemaš'!$A$1:$B$96,2,FALSE)</f>
        <v>485000</v>
      </c>
      <c r="E21" s="22" t="s">
        <v>366</v>
      </c>
      <c r="F21" s="30" t="s">
        <v>329</v>
      </c>
      <c r="G21" s="30" t="s">
        <v>353</v>
      </c>
      <c r="H21" s="30">
        <f>+IF(ISBLANK(I21),0,VLOOKUP(I21,'8Příloha_2_ceník_pravid_úklid'!$B$9:$C$30,2,0))</f>
        <v>4</v>
      </c>
      <c r="I21" s="143" t="s">
        <v>9</v>
      </c>
      <c r="J21" s="145">
        <v>19.14</v>
      </c>
      <c r="K21" s="22" t="s">
        <v>51</v>
      </c>
      <c r="L21" s="146" t="s">
        <v>338</v>
      </c>
      <c r="M21" s="22" t="s">
        <v>49</v>
      </c>
      <c r="N21" s="19">
        <f>IF((VLOOKUP(I21,'8Příloha_2_ceník_pravid_úklid'!$B$9:$I$30,8,0))=0,VLOOKUP(I21,'8Příloha_2_ceník_pravid_úklid'!$B$9:$K$30,10,0),VLOOKUP(I21,'8Příloha_2_ceník_pravid_úklid'!$B$9:$I$30,8,0))</f>
        <v>0</v>
      </c>
      <c r="O21" s="20">
        <v>1</v>
      </c>
      <c r="P21" s="20">
        <f t="shared" si="5"/>
        <v>0.4</v>
      </c>
      <c r="Q21" s="20">
        <v>0</v>
      </c>
      <c r="R21" s="20">
        <v>0</v>
      </c>
      <c r="S21" s="21">
        <f>NETWORKDAYS.INTL(DATE(2018,1,1),DATE(2018,12,31),1,{"2018/1/1";"2018/3/30";"2018/4/2";"2018/5/1";"2018/5/8";"2018/7/5";"2018/7/6";"2018/09/28";"2018/11/17";"2018/12/24";"2018/12/25";"2018/12/26"})</f>
        <v>250</v>
      </c>
      <c r="T21" s="21">
        <f t="shared" si="0"/>
        <v>115</v>
      </c>
      <c r="U21" s="21">
        <f t="shared" si="1"/>
        <v>365</v>
      </c>
      <c r="V21" s="144">
        <f t="shared" si="2"/>
        <v>100</v>
      </c>
      <c r="W21" s="140">
        <f t="shared" si="3"/>
        <v>0</v>
      </c>
      <c r="X21" s="141">
        <f t="shared" si="4"/>
        <v>0</v>
      </c>
      <c r="Y21" s="141">
        <v>0</v>
      </c>
    </row>
    <row r="22" spans="1:25" ht="15" x14ac:dyDescent="0.25">
      <c r="A22" s="138" t="s">
        <v>327</v>
      </c>
      <c r="B22" s="142" t="s">
        <v>328</v>
      </c>
      <c r="C22" s="142" t="s">
        <v>252</v>
      </c>
      <c r="D22" s="139" t="str">
        <f>VLOOKUP(C22,'Seznam HS - nemaš'!$A$1:$B$96,2,FALSE)</f>
        <v>484000</v>
      </c>
      <c r="E22" s="22" t="s">
        <v>367</v>
      </c>
      <c r="F22" s="30" t="s">
        <v>329</v>
      </c>
      <c r="G22" s="30" t="s">
        <v>368</v>
      </c>
      <c r="H22" s="30">
        <f>+IF(ISBLANK(I22),0,VLOOKUP(I22,'8Příloha_2_ceník_pravid_úklid'!$B$9:$C$30,2,0))</f>
        <v>4</v>
      </c>
      <c r="I22" s="143" t="s">
        <v>9</v>
      </c>
      <c r="J22" s="145">
        <v>19.14</v>
      </c>
      <c r="K22" s="22" t="s">
        <v>51</v>
      </c>
      <c r="L22" s="146" t="s">
        <v>338</v>
      </c>
      <c r="M22" s="22" t="s">
        <v>49</v>
      </c>
      <c r="N22" s="19">
        <f>IF((VLOOKUP(I22,'8Příloha_2_ceník_pravid_úklid'!$B$9:$I$30,8,0))=0,VLOOKUP(I22,'8Příloha_2_ceník_pravid_úklid'!$B$9:$K$30,10,0),VLOOKUP(I22,'8Příloha_2_ceník_pravid_úklid'!$B$9:$I$30,8,0))</f>
        <v>0</v>
      </c>
      <c r="O22" s="20">
        <v>1</v>
      </c>
      <c r="P22" s="20">
        <f t="shared" si="5"/>
        <v>0.4</v>
      </c>
      <c r="Q22" s="20">
        <v>0</v>
      </c>
      <c r="R22" s="20">
        <v>0</v>
      </c>
      <c r="S22" s="21">
        <f>NETWORKDAYS.INTL(DATE(2018,1,1),DATE(2018,12,31),1,{"2018/1/1";"2018/3/30";"2018/4/2";"2018/5/1";"2018/5/8";"2018/7/5";"2018/7/6";"2018/09/28";"2018/11/17";"2018/12/24";"2018/12/25";"2018/12/26"})</f>
        <v>250</v>
      </c>
      <c r="T22" s="21">
        <f t="shared" si="0"/>
        <v>115</v>
      </c>
      <c r="U22" s="21">
        <f t="shared" si="1"/>
        <v>365</v>
      </c>
      <c r="V22" s="144">
        <f t="shared" si="2"/>
        <v>100</v>
      </c>
      <c r="W22" s="140">
        <f t="shared" si="3"/>
        <v>0</v>
      </c>
      <c r="X22" s="141">
        <f t="shared" si="4"/>
        <v>0</v>
      </c>
      <c r="Y22" s="141">
        <v>0</v>
      </c>
    </row>
    <row r="23" spans="1:25" ht="15" x14ac:dyDescent="0.25">
      <c r="A23" s="157" t="s">
        <v>327</v>
      </c>
      <c r="B23" s="158" t="s">
        <v>328</v>
      </c>
      <c r="C23" s="158" t="s">
        <v>258</v>
      </c>
      <c r="D23" s="212" t="str">
        <f>VLOOKUP(C23,'Seznam HS - nemaš'!$A$1:$B$96,2,FALSE)</f>
        <v>486020</v>
      </c>
      <c r="E23" s="508" t="s">
        <v>330</v>
      </c>
      <c r="F23" s="161" t="s">
        <v>329</v>
      </c>
      <c r="G23" s="161" t="s">
        <v>331</v>
      </c>
      <c r="H23" s="161">
        <f>+IF(ISBLANK(I23),0,VLOOKUP(I23,'8Příloha_2_ceník_pravid_úklid'!$B$9:$C$30,2,0))</f>
        <v>4</v>
      </c>
      <c r="I23" s="162" t="s">
        <v>9</v>
      </c>
      <c r="J23" s="163">
        <f>9.5*6.1</f>
        <v>57.949999999999996</v>
      </c>
      <c r="K23" s="159" t="s">
        <v>50</v>
      </c>
      <c r="L23" s="175" t="s">
        <v>332</v>
      </c>
      <c r="M23" s="159" t="s">
        <v>49</v>
      </c>
      <c r="N23" s="165">
        <f>IF((VLOOKUP(I23,'8Příloha_2_ceník_pravid_úklid'!$B$9:$I$30,8,0))=0,VLOOKUP(I23,'8Příloha_2_ceník_pravid_úklid'!$B$9:$K$30,10,0),VLOOKUP(I23,'8Příloha_2_ceník_pravid_úklid'!$B$9:$I$30,8,0))</f>
        <v>0</v>
      </c>
      <c r="O23" s="166">
        <v>1</v>
      </c>
      <c r="P23" s="166">
        <f>1/5</f>
        <v>0.2</v>
      </c>
      <c r="Q23" s="166">
        <v>0</v>
      </c>
      <c r="R23" s="166">
        <v>0</v>
      </c>
      <c r="S23" s="167">
        <f>NETWORKDAYS.INTL(DATE(2018,1,1),DATE(2018,12,31),1,{"2018/1/1";"2018/3/30";"2018/4/2";"2018/5/1";"2018/5/8";"2018/7/5";"2018/7/6";"2018/09/28";"2018/11/17";"2018/12/24";"2018/12/25";"2018/12/26"})</f>
        <v>250</v>
      </c>
      <c r="T23" s="167">
        <f t="shared" si="0"/>
        <v>115</v>
      </c>
      <c r="U23" s="167">
        <f t="shared" si="1"/>
        <v>365</v>
      </c>
      <c r="V23" s="168">
        <f t="shared" ref="V23" si="6">ROUND(O23*P23*S23+Q23*R23*T23,2)</f>
        <v>50</v>
      </c>
      <c r="W23" s="169">
        <f t="shared" ref="W23" si="7">ROUND(IF(N23="neoceňuje se",+J23*0*V23,J23*N23*V23),2)</f>
        <v>0</v>
      </c>
      <c r="X23" s="170">
        <f t="shared" ref="X23" si="8">ROUND(W23*1.21,2)</f>
        <v>0</v>
      </c>
      <c r="Y23" s="170">
        <v>0</v>
      </c>
    </row>
  </sheetData>
  <sheetProtection password="CA8C" sheet="1" objects="1" scenarios="1" formatCells="0" formatColumns="0" formatRows="0" autoFilter="0"/>
  <autoFilter ref="A5:X23"/>
  <mergeCells count="24">
    <mergeCell ref="F2:F3"/>
    <mergeCell ref="A2:A3"/>
    <mergeCell ref="B2:B3"/>
    <mergeCell ref="C2:C3"/>
    <mergeCell ref="D2:D3"/>
    <mergeCell ref="E2:E3"/>
    <mergeCell ref="S2:S3"/>
    <mergeCell ref="G2:G3"/>
    <mergeCell ref="H2:H3"/>
    <mergeCell ref="I2:I3"/>
    <mergeCell ref="J2:K2"/>
    <mergeCell ref="L2:L3"/>
    <mergeCell ref="M2:M3"/>
    <mergeCell ref="N2:N3"/>
    <mergeCell ref="O2:O3"/>
    <mergeCell ref="P2:P3"/>
    <mergeCell ref="Q2:Q3"/>
    <mergeCell ref="R2:R3"/>
    <mergeCell ref="Y2:Y3"/>
    <mergeCell ref="T2:T3"/>
    <mergeCell ref="U2:U3"/>
    <mergeCell ref="V2:V3"/>
    <mergeCell ref="W2:W3"/>
    <mergeCell ref="X2:X3"/>
  </mergeCells>
  <conditionalFormatting sqref="A5:X5 A4:V4">
    <cfRule type="cellIs" dxfId="41" priority="61" stopIfTrue="1" operator="equal">
      <formula>0</formula>
    </cfRule>
  </conditionalFormatting>
  <conditionalFormatting sqref="K3">
    <cfRule type="cellIs" dxfId="40" priority="56" stopIfTrue="1" operator="equal">
      <formula>0</formula>
    </cfRule>
  </conditionalFormatting>
  <conditionalFormatting sqref="A2">
    <cfRule type="cellIs" dxfId="39" priority="55" stopIfTrue="1" operator="equal">
      <formula>0</formula>
    </cfRule>
  </conditionalFormatting>
  <conditionalFormatting sqref="J2">
    <cfRule type="cellIs" dxfId="38" priority="54" stopIfTrue="1" operator="equal">
      <formula>0</formula>
    </cfRule>
  </conditionalFormatting>
  <conditionalFormatting sqref="B2:I2">
    <cfRule type="cellIs" dxfId="37" priority="53" stopIfTrue="1" operator="equal">
      <formula>0</formula>
    </cfRule>
  </conditionalFormatting>
  <conditionalFormatting sqref="L2:V2">
    <cfRule type="cellIs" dxfId="36" priority="52" stopIfTrue="1" operator="equal">
      <formula>0</formula>
    </cfRule>
  </conditionalFormatting>
  <conditionalFormatting sqref="J3">
    <cfRule type="cellIs" dxfId="35" priority="44" stopIfTrue="1" operator="equal">
      <formula>0</formula>
    </cfRule>
  </conditionalFormatting>
  <conditionalFormatting sqref="A12 L9:L22 M18:M22 A7:C11 I7:K11 I18:K22 M7:M11 A18:C19 A20:B22 E18:G22 E7:G11">
    <cfRule type="cellIs" dxfId="34" priority="29" stopIfTrue="1" operator="equal">
      <formula>0</formula>
    </cfRule>
  </conditionalFormatting>
  <conditionalFormatting sqref="L7">
    <cfRule type="cellIs" dxfId="33" priority="27" stopIfTrue="1" operator="equal">
      <formula>0</formula>
    </cfRule>
  </conditionalFormatting>
  <conditionalFormatting sqref="L8">
    <cfRule type="cellIs" dxfId="32" priority="26" stopIfTrue="1" operator="equal">
      <formula>0</formula>
    </cfRule>
  </conditionalFormatting>
  <conditionalFormatting sqref="O7:P7">
    <cfRule type="cellIs" dxfId="31" priority="24" stopIfTrue="1" operator="equal">
      <formula>0</formula>
    </cfRule>
  </conditionalFormatting>
  <conditionalFormatting sqref="O8:P8">
    <cfRule type="cellIs" dxfId="30" priority="23" stopIfTrue="1" operator="equal">
      <formula>0</formula>
    </cfRule>
  </conditionalFormatting>
  <conditionalFormatting sqref="O9:P9">
    <cfRule type="cellIs" dxfId="29" priority="22" stopIfTrue="1" operator="equal">
      <formula>0</formula>
    </cfRule>
  </conditionalFormatting>
  <conditionalFormatting sqref="O16:P16 O10:P13">
    <cfRule type="cellIs" dxfId="28" priority="21" stopIfTrue="1" operator="equal">
      <formula>0</formula>
    </cfRule>
  </conditionalFormatting>
  <conditionalFormatting sqref="S7:U22">
    <cfRule type="cellIs" dxfId="27" priority="20" stopIfTrue="1" operator="equal">
      <formula>0</formula>
    </cfRule>
  </conditionalFormatting>
  <conditionalFormatting sqref="V7:V22">
    <cfRule type="cellIs" dxfId="26" priority="19" stopIfTrue="1" operator="equal">
      <formula>0</formula>
    </cfRule>
  </conditionalFormatting>
  <conditionalFormatting sqref="A6:G6 I6:K6 M6 D7:D23">
    <cfRule type="cellIs" dxfId="25" priority="18" stopIfTrue="1" operator="equal">
      <formula>0</formula>
    </cfRule>
  </conditionalFormatting>
  <conditionalFormatting sqref="H6:H23">
    <cfRule type="cellIs" dxfId="24" priority="17" stopIfTrue="1" operator="equal">
      <formula>0</formula>
    </cfRule>
  </conditionalFormatting>
  <conditionalFormatting sqref="O6:P6">
    <cfRule type="cellIs" dxfId="23" priority="15" stopIfTrue="1" operator="equal">
      <formula>0</formula>
    </cfRule>
  </conditionalFormatting>
  <conditionalFormatting sqref="S6:U6">
    <cfRule type="cellIs" dxfId="22" priority="14" stopIfTrue="1" operator="equal">
      <formula>0</formula>
    </cfRule>
  </conditionalFormatting>
  <conditionalFormatting sqref="V6">
    <cfRule type="cellIs" dxfId="21" priority="13" stopIfTrue="1" operator="equal">
      <formula>0</formula>
    </cfRule>
  </conditionalFormatting>
  <conditionalFormatting sqref="L6">
    <cfRule type="cellIs" dxfId="20" priority="12" stopIfTrue="1" operator="equal">
      <formula>0</formula>
    </cfRule>
  </conditionalFormatting>
  <conditionalFormatting sqref="I23:M23 A23:B23 F23:G23">
    <cfRule type="cellIs" dxfId="19" priority="11" stopIfTrue="1" operator="equal">
      <formula>0</formula>
    </cfRule>
  </conditionalFormatting>
  <conditionalFormatting sqref="S23:U23">
    <cfRule type="cellIs" dxfId="18" priority="8" stopIfTrue="1" operator="equal">
      <formula>0</formula>
    </cfRule>
  </conditionalFormatting>
  <conditionalFormatting sqref="V23">
    <cfRule type="cellIs" dxfId="17" priority="7" stopIfTrue="1" operator="equal">
      <formula>0</formula>
    </cfRule>
  </conditionalFormatting>
  <conditionalFormatting sqref="E23">
    <cfRule type="cellIs" dxfId="16" priority="6" stopIfTrue="1" operator="equal">
      <formula>0</formula>
    </cfRule>
  </conditionalFormatting>
  <conditionalFormatting sqref="N6:N23">
    <cfRule type="cellIs" dxfId="15" priority="5" stopIfTrue="1" operator="equal">
      <formula>0</formula>
    </cfRule>
  </conditionalFormatting>
  <conditionalFormatting sqref="W2:X2">
    <cfRule type="cellIs" dxfId="14" priority="4" stopIfTrue="1" operator="equal">
      <formula>0</formula>
    </cfRule>
  </conditionalFormatting>
  <conditionalFormatting sqref="Y5">
    <cfRule type="cellIs" dxfId="13" priority="3" stopIfTrue="1" operator="equal">
      <formula>0</formula>
    </cfRule>
  </conditionalFormatting>
  <conditionalFormatting sqref="Y2">
    <cfRule type="cellIs" dxfId="12" priority="1" stopIfTrue="1" operator="equal">
      <formula>0</formula>
    </cfRule>
  </conditionalFormatting>
  <dataValidations disablePrompts="1" count="1">
    <dataValidation type="list" allowBlank="1" showInputMessage="1" showErrorMessage="1" sqref="C6:C23">
      <formula1>HS0</formula1>
    </dataValidation>
  </dataValidation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zoomScale="55" zoomScaleNormal="55" workbookViewId="0">
      <selection activeCell="J35" sqref="J35"/>
    </sheetView>
  </sheetViews>
  <sheetFormatPr defaultRowHeight="12.75" x14ac:dyDescent="0.2"/>
  <cols>
    <col min="1" max="2" width="9.140625" style="1"/>
    <col min="3" max="3" width="28.85546875" style="1" customWidth="1"/>
    <col min="4" max="5" width="9.140625" style="1"/>
    <col min="6" max="6" width="19.7109375" style="1" customWidth="1"/>
    <col min="7" max="7" width="12.7109375" style="1" customWidth="1"/>
    <col min="8" max="13" width="9.140625" style="1"/>
    <col min="14" max="14" width="11.28515625" style="1" bestFit="1" customWidth="1"/>
    <col min="15" max="22" width="9.140625" style="1"/>
    <col min="23" max="24" width="11" style="1" customWidth="1"/>
    <col min="25" max="25" width="14.5703125" style="1" customWidth="1"/>
    <col min="26" max="16384" width="9.140625" style="1"/>
  </cols>
  <sheetData>
    <row r="1" spans="1:25" ht="16.5" thickBot="1" x14ac:dyDescent="0.3">
      <c r="A1" s="14" t="s">
        <v>465</v>
      </c>
      <c r="B1" s="213"/>
      <c r="C1" s="213"/>
      <c r="D1" s="213"/>
      <c r="E1" s="213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5"/>
      <c r="X1" s="5" t="s">
        <v>100</v>
      </c>
      <c r="Y1" s="6" t="s">
        <v>1776</v>
      </c>
    </row>
    <row r="2" spans="1:25" ht="33.75" customHeight="1" x14ac:dyDescent="0.2">
      <c r="A2" s="755" t="s">
        <v>73</v>
      </c>
      <c r="B2" s="752" t="s">
        <v>72</v>
      </c>
      <c r="C2" s="752" t="s">
        <v>291</v>
      </c>
      <c r="D2" s="752" t="s">
        <v>292</v>
      </c>
      <c r="E2" s="759" t="s">
        <v>62</v>
      </c>
      <c r="F2" s="752" t="s">
        <v>61</v>
      </c>
      <c r="G2" s="752" t="s">
        <v>60</v>
      </c>
      <c r="H2" s="752" t="s">
        <v>98</v>
      </c>
      <c r="I2" s="752" t="s">
        <v>97</v>
      </c>
      <c r="J2" s="754" t="s">
        <v>71</v>
      </c>
      <c r="K2" s="754"/>
      <c r="L2" s="752" t="s">
        <v>59</v>
      </c>
      <c r="M2" s="752" t="s">
        <v>57</v>
      </c>
      <c r="N2" s="752" t="s">
        <v>56</v>
      </c>
      <c r="O2" s="752" t="s">
        <v>103</v>
      </c>
      <c r="P2" s="752" t="s">
        <v>104</v>
      </c>
      <c r="Q2" s="752" t="s">
        <v>105</v>
      </c>
      <c r="R2" s="752" t="s">
        <v>106</v>
      </c>
      <c r="S2" s="752" t="s">
        <v>107</v>
      </c>
      <c r="T2" s="752" t="s">
        <v>108</v>
      </c>
      <c r="U2" s="752" t="s">
        <v>109</v>
      </c>
      <c r="V2" s="752" t="s">
        <v>110</v>
      </c>
      <c r="W2" s="752" t="s">
        <v>1744</v>
      </c>
      <c r="X2" s="750" t="s">
        <v>1745</v>
      </c>
      <c r="Y2" s="750" t="s">
        <v>1746</v>
      </c>
    </row>
    <row r="3" spans="1:25" ht="33.75" customHeight="1" thickBot="1" x14ac:dyDescent="0.25">
      <c r="A3" s="756"/>
      <c r="B3" s="753"/>
      <c r="C3" s="753"/>
      <c r="D3" s="753"/>
      <c r="E3" s="760"/>
      <c r="F3" s="753"/>
      <c r="G3" s="753"/>
      <c r="H3" s="753"/>
      <c r="I3" s="753"/>
      <c r="J3" s="16" t="s">
        <v>124</v>
      </c>
      <c r="K3" s="147" t="s">
        <v>58</v>
      </c>
      <c r="L3" s="753"/>
      <c r="M3" s="753"/>
      <c r="N3" s="753"/>
      <c r="O3" s="753"/>
      <c r="P3" s="753"/>
      <c r="Q3" s="753"/>
      <c r="R3" s="753"/>
      <c r="S3" s="753"/>
      <c r="T3" s="753"/>
      <c r="U3" s="753"/>
      <c r="V3" s="753"/>
      <c r="W3" s="753"/>
      <c r="X3" s="751"/>
      <c r="Y3" s="751"/>
    </row>
    <row r="4" spans="1:25" x14ac:dyDescent="0.2">
      <c r="A4" s="215"/>
      <c r="B4" s="17"/>
      <c r="C4" s="17"/>
      <c r="D4" s="17"/>
      <c r="E4" s="17"/>
      <c r="F4" s="17"/>
      <c r="G4" s="17"/>
      <c r="H4" s="17"/>
      <c r="I4" s="17"/>
      <c r="J4" s="217">
        <f>SUM(J6:J33,J35:J43,J45:J57)</f>
        <v>577.00199999999995</v>
      </c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8">
        <f>SUM(W6:W57)</f>
        <v>0</v>
      </c>
      <c r="X4" s="18">
        <f>SUM(X6:X57)</f>
        <v>0</v>
      </c>
      <c r="Y4" s="18">
        <f>SUM(Y6:Y57)</f>
        <v>0</v>
      </c>
    </row>
    <row r="5" spans="1:25" x14ac:dyDescent="0.2">
      <c r="A5" s="218"/>
      <c r="B5" s="177"/>
      <c r="C5" s="177"/>
      <c r="D5" s="177"/>
      <c r="E5" s="177"/>
      <c r="F5" s="177"/>
      <c r="G5" s="177"/>
      <c r="H5" s="177"/>
      <c r="I5" s="177"/>
      <c r="J5" s="178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8"/>
      <c r="X5" s="220"/>
      <c r="Y5" s="220"/>
    </row>
    <row r="6" spans="1:25" ht="15" x14ac:dyDescent="0.25">
      <c r="A6" s="171" t="s">
        <v>466</v>
      </c>
      <c r="B6" s="148" t="s">
        <v>54</v>
      </c>
      <c r="C6" s="148" t="s">
        <v>219</v>
      </c>
      <c r="D6" s="139" t="str">
        <f>VLOOKUP(C6,'Seznam HS - nemaš'!$A$1:$B$96,2,FALSE)</f>
        <v>452500</v>
      </c>
      <c r="E6" s="282" t="s">
        <v>343</v>
      </c>
      <c r="F6" s="283" t="s">
        <v>397</v>
      </c>
      <c r="G6" s="283"/>
      <c r="H6" s="28">
        <f>+IF(ISBLANK(I6),0,VLOOKUP(I6,'8Příloha_2_ceník_pravid_úklid'!$B$9:$C$30,2,0))</f>
        <v>6</v>
      </c>
      <c r="I6" s="149" t="s">
        <v>1</v>
      </c>
      <c r="J6" s="172">
        <f>2.46*1.36+1.11*(3.83-1.36)</f>
        <v>6.0872999999999999</v>
      </c>
      <c r="K6" s="29" t="s">
        <v>50</v>
      </c>
      <c r="L6" s="292" t="s">
        <v>65</v>
      </c>
      <c r="M6" s="29" t="s">
        <v>49</v>
      </c>
      <c r="N6" s="19">
        <f>IF((VLOOKUP(I6,'8Příloha_2_ceník_pravid_úklid'!$B$9:$I$30,8,0))=0,VLOOKUP(I6,'8Příloha_2_ceník_pravid_úklid'!$B$9:$K$30,10,0),VLOOKUP(I6,'8Příloha_2_ceník_pravid_úklid'!$B$9:$I$30,8,0))</f>
        <v>0</v>
      </c>
      <c r="O6" s="20">
        <v>2</v>
      </c>
      <c r="P6" s="20">
        <v>1</v>
      </c>
      <c r="Q6" s="20">
        <v>0</v>
      </c>
      <c r="R6" s="20">
        <v>0</v>
      </c>
      <c r="S6" s="26">
        <f>NETWORKDAYS.INTL(DATE(2018,1,1),DATE(2018,12,31),1,{"2018/1/1";"2018/3/30";"2018/4/2";"2018/5/1";"2018/5/8";"2018/7/5";"2018/7/6";"2018/09/28";"2018/11/17";"2018/12/24";"2018/12/25";"2018/12/26"})</f>
        <v>250</v>
      </c>
      <c r="T6" s="26">
        <f t="shared" ref="T6:T57" si="0">U6-S6</f>
        <v>115</v>
      </c>
      <c r="U6" s="26">
        <f t="shared" ref="U6:U57" si="1">_xlfn.DAYS("1.1.2019","1.1.2018")</f>
        <v>365</v>
      </c>
      <c r="V6" s="153">
        <f t="shared" ref="V6:V57" si="2">ROUND(O6*P6*S6+Q6*R6*T6,2)</f>
        <v>500</v>
      </c>
      <c r="W6" s="140">
        <f t="shared" ref="W6:W57" si="3">ROUND(IF(N6="neoceňuje se",+J6*0*V6,J6*N6*V6),2)</f>
        <v>0</v>
      </c>
      <c r="X6" s="141">
        <f t="shared" ref="X6:Y57" si="4">ROUND(W6*1.21,2)</f>
        <v>0</v>
      </c>
      <c r="Y6" s="141">
        <v>0</v>
      </c>
    </row>
    <row r="7" spans="1:25" ht="15" x14ac:dyDescent="0.25">
      <c r="A7" s="138" t="s">
        <v>466</v>
      </c>
      <c r="B7" s="142" t="s">
        <v>54</v>
      </c>
      <c r="C7" s="148" t="s">
        <v>219</v>
      </c>
      <c r="D7" s="139" t="str">
        <f>VLOOKUP(C7,'Seznam HS - nemaš'!$A$1:$B$96,2,FALSE)</f>
        <v>452500</v>
      </c>
      <c r="E7" s="243" t="s">
        <v>467</v>
      </c>
      <c r="F7" s="244" t="s">
        <v>53</v>
      </c>
      <c r="G7" s="244"/>
      <c r="H7" s="28">
        <f>+IF(ISBLANK(I7),0,VLOOKUP(I7,'8Příloha_2_ceník_pravid_úklid'!$B$9:$C$30,2,0))</f>
        <v>6</v>
      </c>
      <c r="I7" s="143" t="s">
        <v>1</v>
      </c>
      <c r="J7" s="145">
        <f>11.24*1.8</f>
        <v>20.231999999999999</v>
      </c>
      <c r="K7" s="22" t="s">
        <v>51</v>
      </c>
      <c r="L7" s="198" t="s">
        <v>65</v>
      </c>
      <c r="M7" s="22" t="s">
        <v>49</v>
      </c>
      <c r="N7" s="19">
        <f>IF((VLOOKUP(I7,'8Příloha_2_ceník_pravid_úklid'!$B$9:$I$30,8,0))=0,VLOOKUP(I7,'8Příloha_2_ceník_pravid_úklid'!$B$9:$K$30,10,0),VLOOKUP(I7,'8Příloha_2_ceník_pravid_úklid'!$B$9:$I$30,8,0))</f>
        <v>0</v>
      </c>
      <c r="O7" s="20">
        <v>2</v>
      </c>
      <c r="P7" s="20">
        <v>1</v>
      </c>
      <c r="Q7" s="20">
        <v>0</v>
      </c>
      <c r="R7" s="20">
        <v>0</v>
      </c>
      <c r="S7" s="21">
        <f>NETWORKDAYS.INTL(DATE(2018,1,1),DATE(2018,12,31),1,{"2018/1/1";"2018/3/30";"2018/4/2";"2018/5/1";"2018/5/8";"2018/7/5";"2018/7/6";"2018/09/28";"2018/11/17";"2018/12/24";"2018/12/25";"2018/12/26"})</f>
        <v>250</v>
      </c>
      <c r="T7" s="21">
        <f t="shared" si="0"/>
        <v>115</v>
      </c>
      <c r="U7" s="21">
        <f t="shared" si="1"/>
        <v>365</v>
      </c>
      <c r="V7" s="144">
        <f t="shared" si="2"/>
        <v>500</v>
      </c>
      <c r="W7" s="140">
        <f t="shared" si="3"/>
        <v>0</v>
      </c>
      <c r="X7" s="141">
        <f t="shared" si="4"/>
        <v>0</v>
      </c>
      <c r="Y7" s="141">
        <v>0</v>
      </c>
    </row>
    <row r="8" spans="1:25" ht="15" x14ac:dyDescent="0.25">
      <c r="A8" s="138" t="s">
        <v>466</v>
      </c>
      <c r="B8" s="142" t="s">
        <v>54</v>
      </c>
      <c r="C8" s="148" t="s">
        <v>219</v>
      </c>
      <c r="D8" s="139" t="str">
        <f>VLOOKUP(C8,'Seznam HS - nemaš'!$A$1:$B$96,2,FALSE)</f>
        <v>452500</v>
      </c>
      <c r="E8" s="243" t="s">
        <v>468</v>
      </c>
      <c r="F8" s="244" t="s">
        <v>53</v>
      </c>
      <c r="G8" s="244"/>
      <c r="H8" s="28">
        <f>+IF(ISBLANK(I8),0,VLOOKUP(I8,'8Příloha_2_ceník_pravid_úklid'!$B$9:$C$30,2,0))</f>
        <v>6</v>
      </c>
      <c r="I8" s="143" t="s">
        <v>1</v>
      </c>
      <c r="J8" s="145">
        <f>1.82*1.8+3.2*1.19</f>
        <v>7.0839999999999996</v>
      </c>
      <c r="K8" s="22" t="s">
        <v>51</v>
      </c>
      <c r="L8" s="198" t="s">
        <v>65</v>
      </c>
      <c r="M8" s="22" t="s">
        <v>49</v>
      </c>
      <c r="N8" s="19">
        <f>IF((VLOOKUP(I8,'8Příloha_2_ceník_pravid_úklid'!$B$9:$I$30,8,0))=0,VLOOKUP(I8,'8Příloha_2_ceník_pravid_úklid'!$B$9:$K$30,10,0),VLOOKUP(I8,'8Příloha_2_ceník_pravid_úklid'!$B$9:$I$30,8,0))</f>
        <v>0</v>
      </c>
      <c r="O8" s="20">
        <v>2</v>
      </c>
      <c r="P8" s="20">
        <v>1</v>
      </c>
      <c r="Q8" s="20">
        <v>0</v>
      </c>
      <c r="R8" s="20">
        <v>0</v>
      </c>
      <c r="S8" s="21">
        <f>NETWORKDAYS.INTL(DATE(2018,1,1),DATE(2018,12,31),1,{"2018/1/1";"2018/3/30";"2018/4/2";"2018/5/1";"2018/5/8";"2018/7/5";"2018/7/6";"2018/09/28";"2018/11/17";"2018/12/24";"2018/12/25";"2018/12/26"})</f>
        <v>250</v>
      </c>
      <c r="T8" s="21">
        <f t="shared" si="0"/>
        <v>115</v>
      </c>
      <c r="U8" s="21">
        <f t="shared" si="1"/>
        <v>365</v>
      </c>
      <c r="V8" s="144">
        <f t="shared" si="2"/>
        <v>500</v>
      </c>
      <c r="W8" s="140">
        <f t="shared" si="3"/>
        <v>0</v>
      </c>
      <c r="X8" s="141">
        <f t="shared" si="4"/>
        <v>0</v>
      </c>
      <c r="Y8" s="141">
        <v>0</v>
      </c>
    </row>
    <row r="9" spans="1:25" ht="15" x14ac:dyDescent="0.25">
      <c r="A9" s="138" t="s">
        <v>466</v>
      </c>
      <c r="B9" s="142" t="s">
        <v>54</v>
      </c>
      <c r="C9" s="148" t="s">
        <v>219</v>
      </c>
      <c r="D9" s="139" t="str">
        <f>VLOOKUP(C9,'Seznam HS - nemaš'!$A$1:$B$96,2,FALSE)</f>
        <v>452500</v>
      </c>
      <c r="E9" s="243" t="s">
        <v>469</v>
      </c>
      <c r="F9" s="244" t="s">
        <v>53</v>
      </c>
      <c r="G9" s="244"/>
      <c r="H9" s="28">
        <f>+IF(ISBLANK(I9),0,VLOOKUP(I9,'8Příloha_2_ceník_pravid_úklid'!$B$9:$C$30,2,0))</f>
        <v>6</v>
      </c>
      <c r="I9" s="143" t="s">
        <v>1</v>
      </c>
      <c r="J9" s="145">
        <f>1.16*5.97+1.29*(2.61-1.16)</f>
        <v>8.7957000000000001</v>
      </c>
      <c r="K9" s="22" t="s">
        <v>51</v>
      </c>
      <c r="L9" s="198" t="s">
        <v>65</v>
      </c>
      <c r="M9" s="22" t="s">
        <v>49</v>
      </c>
      <c r="N9" s="19">
        <f>IF((VLOOKUP(I9,'8Příloha_2_ceník_pravid_úklid'!$B$9:$I$30,8,0))=0,VLOOKUP(I9,'8Příloha_2_ceník_pravid_úklid'!$B$9:$K$30,10,0),VLOOKUP(I9,'8Příloha_2_ceník_pravid_úklid'!$B$9:$I$30,8,0))</f>
        <v>0</v>
      </c>
      <c r="O9" s="20">
        <v>2</v>
      </c>
      <c r="P9" s="20">
        <v>1</v>
      </c>
      <c r="Q9" s="20">
        <v>0</v>
      </c>
      <c r="R9" s="20">
        <v>0</v>
      </c>
      <c r="S9" s="21">
        <f>NETWORKDAYS.INTL(DATE(2018,1,1),DATE(2018,12,31),1,{"2018/1/1";"2018/3/30";"2018/4/2";"2018/5/1";"2018/5/8";"2018/7/5";"2018/7/6";"2018/09/28";"2018/11/17";"2018/12/24";"2018/12/25";"2018/12/26"})</f>
        <v>250</v>
      </c>
      <c r="T9" s="21">
        <f t="shared" si="0"/>
        <v>115</v>
      </c>
      <c r="U9" s="21">
        <f t="shared" si="1"/>
        <v>365</v>
      </c>
      <c r="V9" s="144">
        <f t="shared" si="2"/>
        <v>500</v>
      </c>
      <c r="W9" s="140">
        <f t="shared" si="3"/>
        <v>0</v>
      </c>
      <c r="X9" s="141">
        <f t="shared" si="4"/>
        <v>0</v>
      </c>
      <c r="Y9" s="141">
        <v>0</v>
      </c>
    </row>
    <row r="10" spans="1:25" ht="15" x14ac:dyDescent="0.25">
      <c r="A10" s="138" t="s">
        <v>466</v>
      </c>
      <c r="B10" s="142" t="s">
        <v>54</v>
      </c>
      <c r="C10" s="148" t="s">
        <v>219</v>
      </c>
      <c r="D10" s="139" t="str">
        <f>VLOOKUP(C10,'Seznam HS - nemaš'!$A$1:$B$96,2,FALSE)</f>
        <v>452500</v>
      </c>
      <c r="E10" s="243" t="s">
        <v>396</v>
      </c>
      <c r="F10" s="244" t="s">
        <v>437</v>
      </c>
      <c r="G10" s="244" t="s">
        <v>420</v>
      </c>
      <c r="H10" s="28">
        <f>+IF(ISBLANK(I10),0,VLOOKUP(I10,'8Příloha_2_ceník_pravid_úklid'!$B$9:$C$30,2,0))</f>
        <v>7</v>
      </c>
      <c r="I10" s="143" t="s">
        <v>14</v>
      </c>
      <c r="J10" s="145">
        <v>2.5</v>
      </c>
      <c r="K10" s="22" t="s">
        <v>51</v>
      </c>
      <c r="L10" s="156" t="s">
        <v>21</v>
      </c>
      <c r="M10" s="22" t="s">
        <v>49</v>
      </c>
      <c r="N10" s="19">
        <f>IF((VLOOKUP(I10,'8Příloha_2_ceník_pravid_úklid'!$B$9:$I$30,8,0))=0,VLOOKUP(I10,'8Příloha_2_ceník_pravid_úklid'!$B$9:$K$30,10,0),VLOOKUP(I10,'8Příloha_2_ceník_pravid_úklid'!$B$9:$I$30,8,0))</f>
        <v>0</v>
      </c>
      <c r="O10" s="20">
        <v>1</v>
      </c>
      <c r="P10" s="20">
        <v>1</v>
      </c>
      <c r="Q10" s="20">
        <v>0</v>
      </c>
      <c r="R10" s="20">
        <v>0</v>
      </c>
      <c r="S10" s="21">
        <f>NETWORKDAYS.INTL(DATE(2018,1,1),DATE(2018,12,31),1,{"2018/1/1";"2018/3/30";"2018/4/2";"2018/5/1";"2018/5/8";"2018/7/5";"2018/7/6";"2018/09/28";"2018/11/17";"2018/12/24";"2018/12/25";"2018/12/26"})</f>
        <v>250</v>
      </c>
      <c r="T10" s="21">
        <f t="shared" si="0"/>
        <v>115</v>
      </c>
      <c r="U10" s="21">
        <f t="shared" si="1"/>
        <v>365</v>
      </c>
      <c r="V10" s="144">
        <f t="shared" si="2"/>
        <v>250</v>
      </c>
      <c r="W10" s="140">
        <f t="shared" si="3"/>
        <v>0</v>
      </c>
      <c r="X10" s="141">
        <f t="shared" si="4"/>
        <v>0</v>
      </c>
      <c r="Y10" s="141">
        <v>0</v>
      </c>
    </row>
    <row r="11" spans="1:25" ht="15" x14ac:dyDescent="0.25">
      <c r="A11" s="138" t="s">
        <v>466</v>
      </c>
      <c r="B11" s="142" t="s">
        <v>54</v>
      </c>
      <c r="C11" s="148" t="s">
        <v>219</v>
      </c>
      <c r="D11" s="139" t="str">
        <f>VLOOKUP(C11,'Seznam HS - nemaš'!$A$1:$B$96,2,FALSE)</f>
        <v>452500</v>
      </c>
      <c r="E11" s="243" t="s">
        <v>399</v>
      </c>
      <c r="F11" s="244" t="s">
        <v>437</v>
      </c>
      <c r="G11" s="244"/>
      <c r="H11" s="28">
        <f>+IF(ISBLANK(I11),0,VLOOKUP(I11,'8Příloha_2_ceník_pravid_úklid'!$B$9:$C$30,2,0))</f>
        <v>7</v>
      </c>
      <c r="I11" s="143" t="s">
        <v>14</v>
      </c>
      <c r="J11" s="145">
        <v>1</v>
      </c>
      <c r="K11" s="22" t="s">
        <v>51</v>
      </c>
      <c r="L11" s="156" t="s">
        <v>21</v>
      </c>
      <c r="M11" s="22" t="s">
        <v>49</v>
      </c>
      <c r="N11" s="19">
        <f>IF((VLOOKUP(I11,'8Příloha_2_ceník_pravid_úklid'!$B$9:$I$30,8,0))=0,VLOOKUP(I11,'8Příloha_2_ceník_pravid_úklid'!$B$9:$K$30,10,0),VLOOKUP(I11,'8Příloha_2_ceník_pravid_úklid'!$B$9:$I$30,8,0))</f>
        <v>0</v>
      </c>
      <c r="O11" s="20">
        <v>1</v>
      </c>
      <c r="P11" s="20">
        <v>1</v>
      </c>
      <c r="Q11" s="20">
        <v>0</v>
      </c>
      <c r="R11" s="20">
        <v>0</v>
      </c>
      <c r="S11" s="21">
        <f>NETWORKDAYS.INTL(DATE(2018,1,1),DATE(2018,12,31),1,{"2018/1/1";"2018/3/30";"2018/4/2";"2018/5/1";"2018/5/8";"2018/7/5";"2018/7/6";"2018/09/28";"2018/11/17";"2018/12/24";"2018/12/25";"2018/12/26"})</f>
        <v>250</v>
      </c>
      <c r="T11" s="21">
        <f t="shared" si="0"/>
        <v>115</v>
      </c>
      <c r="U11" s="21">
        <f t="shared" si="1"/>
        <v>365</v>
      </c>
      <c r="V11" s="144">
        <f t="shared" si="2"/>
        <v>250</v>
      </c>
      <c r="W11" s="140">
        <f t="shared" si="3"/>
        <v>0</v>
      </c>
      <c r="X11" s="141">
        <f t="shared" si="4"/>
        <v>0</v>
      </c>
      <c r="Y11" s="141">
        <v>0</v>
      </c>
    </row>
    <row r="12" spans="1:25" ht="15" x14ac:dyDescent="0.25">
      <c r="A12" s="138" t="s">
        <v>466</v>
      </c>
      <c r="B12" s="142" t="s">
        <v>54</v>
      </c>
      <c r="C12" s="148" t="s">
        <v>219</v>
      </c>
      <c r="D12" s="139" t="str">
        <f>VLOOKUP(C12,'Seznam HS - nemaš'!$A$1:$B$96,2,FALSE)</f>
        <v>452500</v>
      </c>
      <c r="E12" s="243" t="s">
        <v>433</v>
      </c>
      <c r="F12" s="244" t="s">
        <v>437</v>
      </c>
      <c r="G12" s="154" t="s">
        <v>420</v>
      </c>
      <c r="H12" s="28">
        <f>+IF(ISBLANK(I12),0,VLOOKUP(I12,'8Příloha_2_ceník_pravid_úklid'!$B$9:$C$30,2,0))</f>
        <v>7</v>
      </c>
      <c r="I12" s="143" t="s">
        <v>14</v>
      </c>
      <c r="J12" s="145">
        <v>2.5</v>
      </c>
      <c r="K12" s="22" t="s">
        <v>51</v>
      </c>
      <c r="L12" s="156" t="s">
        <v>21</v>
      </c>
      <c r="M12" s="22" t="s">
        <v>49</v>
      </c>
      <c r="N12" s="19">
        <f>IF((VLOOKUP(I12,'8Příloha_2_ceník_pravid_úklid'!$B$9:$I$30,8,0))=0,VLOOKUP(I12,'8Příloha_2_ceník_pravid_úklid'!$B$9:$K$30,10,0),VLOOKUP(I12,'8Příloha_2_ceník_pravid_úklid'!$B$9:$I$30,8,0))</f>
        <v>0</v>
      </c>
      <c r="O12" s="20">
        <v>1</v>
      </c>
      <c r="P12" s="20">
        <v>1</v>
      </c>
      <c r="Q12" s="20">
        <v>0</v>
      </c>
      <c r="R12" s="20">
        <v>0</v>
      </c>
      <c r="S12" s="21">
        <f>NETWORKDAYS.INTL(DATE(2018,1,1),DATE(2018,12,31),1,{"2018/1/1";"2018/3/30";"2018/4/2";"2018/5/1";"2018/5/8";"2018/7/5";"2018/7/6";"2018/09/28";"2018/11/17";"2018/12/24";"2018/12/25";"2018/12/26"})</f>
        <v>250</v>
      </c>
      <c r="T12" s="21">
        <f t="shared" si="0"/>
        <v>115</v>
      </c>
      <c r="U12" s="21">
        <f t="shared" si="1"/>
        <v>365</v>
      </c>
      <c r="V12" s="144">
        <f t="shared" si="2"/>
        <v>250</v>
      </c>
      <c r="W12" s="140">
        <f t="shared" si="3"/>
        <v>0</v>
      </c>
      <c r="X12" s="141">
        <f t="shared" si="4"/>
        <v>0</v>
      </c>
      <c r="Y12" s="141">
        <v>0</v>
      </c>
    </row>
    <row r="13" spans="1:25" ht="15" x14ac:dyDescent="0.25">
      <c r="A13" s="138" t="s">
        <v>466</v>
      </c>
      <c r="B13" s="142" t="s">
        <v>54</v>
      </c>
      <c r="C13" s="148" t="s">
        <v>219</v>
      </c>
      <c r="D13" s="139" t="str">
        <f>VLOOKUP(C13,'Seznam HS - nemaš'!$A$1:$B$96,2,FALSE)</f>
        <v>452500</v>
      </c>
      <c r="E13" s="243" t="s">
        <v>470</v>
      </c>
      <c r="F13" s="244" t="s">
        <v>437</v>
      </c>
      <c r="G13" s="154"/>
      <c r="H13" s="28">
        <f>+IF(ISBLANK(I13),0,VLOOKUP(I13,'8Příloha_2_ceník_pravid_úklid'!$B$9:$C$30,2,0))</f>
        <v>7</v>
      </c>
      <c r="I13" s="143" t="s">
        <v>14</v>
      </c>
      <c r="J13" s="145">
        <v>1</v>
      </c>
      <c r="K13" s="22" t="s">
        <v>51</v>
      </c>
      <c r="L13" s="156" t="s">
        <v>21</v>
      </c>
      <c r="M13" s="22" t="s">
        <v>49</v>
      </c>
      <c r="N13" s="19">
        <f>IF((VLOOKUP(I13,'8Příloha_2_ceník_pravid_úklid'!$B$9:$I$30,8,0))=0,VLOOKUP(I13,'8Příloha_2_ceník_pravid_úklid'!$B$9:$K$30,10,0),VLOOKUP(I13,'8Příloha_2_ceník_pravid_úklid'!$B$9:$I$30,8,0))</f>
        <v>0</v>
      </c>
      <c r="O13" s="20">
        <v>1</v>
      </c>
      <c r="P13" s="20">
        <v>1</v>
      </c>
      <c r="Q13" s="20">
        <v>0</v>
      </c>
      <c r="R13" s="20">
        <v>0</v>
      </c>
      <c r="S13" s="21">
        <f>NETWORKDAYS.INTL(DATE(2018,1,1),DATE(2018,12,31),1,{"2018/1/1";"2018/3/30";"2018/4/2";"2018/5/1";"2018/5/8";"2018/7/5";"2018/7/6";"2018/09/28";"2018/11/17";"2018/12/24";"2018/12/25";"2018/12/26"})</f>
        <v>250</v>
      </c>
      <c r="T13" s="21">
        <f t="shared" si="0"/>
        <v>115</v>
      </c>
      <c r="U13" s="21">
        <f t="shared" si="1"/>
        <v>365</v>
      </c>
      <c r="V13" s="144">
        <f t="shared" si="2"/>
        <v>250</v>
      </c>
      <c r="W13" s="140">
        <f t="shared" si="3"/>
        <v>0</v>
      </c>
      <c r="X13" s="141">
        <f t="shared" si="4"/>
        <v>0</v>
      </c>
      <c r="Y13" s="141">
        <v>0</v>
      </c>
    </row>
    <row r="14" spans="1:25" ht="15" x14ac:dyDescent="0.25">
      <c r="A14" s="138" t="s">
        <v>466</v>
      </c>
      <c r="B14" s="142" t="s">
        <v>54</v>
      </c>
      <c r="C14" s="148" t="s">
        <v>219</v>
      </c>
      <c r="D14" s="139" t="str">
        <f>VLOOKUP(C14,'Seznam HS - nemaš'!$A$1:$B$96,2,FALSE)</f>
        <v>452500</v>
      </c>
      <c r="E14" s="243" t="s">
        <v>471</v>
      </c>
      <c r="F14" s="244" t="s">
        <v>472</v>
      </c>
      <c r="G14" s="154" t="s">
        <v>473</v>
      </c>
      <c r="H14" s="28">
        <f>+IF(ISBLANK(I14),0,VLOOKUP(I14,'8Příloha_2_ceník_pravid_úklid'!$B$9:$C$30,2,0))</f>
        <v>3</v>
      </c>
      <c r="I14" s="143" t="s">
        <v>3</v>
      </c>
      <c r="J14" s="145">
        <f>3.31*4.54</f>
        <v>15.0274</v>
      </c>
      <c r="K14" s="22" t="s">
        <v>50</v>
      </c>
      <c r="L14" s="198" t="s">
        <v>65</v>
      </c>
      <c r="M14" s="22" t="s">
        <v>49</v>
      </c>
      <c r="N14" s="19">
        <f>IF((VLOOKUP(I14,'8Příloha_2_ceník_pravid_úklid'!$B$9:$I$30,8,0))=0,VLOOKUP(I14,'8Příloha_2_ceník_pravid_úklid'!$B$9:$K$30,10,0),VLOOKUP(I14,'8Příloha_2_ceník_pravid_úklid'!$B$9:$I$30,8,0))</f>
        <v>0</v>
      </c>
      <c r="O14" s="20">
        <v>2</v>
      </c>
      <c r="P14" s="20">
        <v>1</v>
      </c>
      <c r="Q14" s="20">
        <v>0</v>
      </c>
      <c r="R14" s="20">
        <v>0</v>
      </c>
      <c r="S14" s="21">
        <f>NETWORKDAYS.INTL(DATE(2018,1,1),DATE(2018,12,31),1,{"2018/1/1";"2018/3/30";"2018/4/2";"2018/5/1";"2018/5/8";"2018/7/5";"2018/7/6";"2018/09/28";"2018/11/17";"2018/12/24";"2018/12/25";"2018/12/26"})</f>
        <v>250</v>
      </c>
      <c r="T14" s="21">
        <f t="shared" si="0"/>
        <v>115</v>
      </c>
      <c r="U14" s="21">
        <f t="shared" si="1"/>
        <v>365</v>
      </c>
      <c r="V14" s="144">
        <f t="shared" si="2"/>
        <v>500</v>
      </c>
      <c r="W14" s="140">
        <f t="shared" si="3"/>
        <v>0</v>
      </c>
      <c r="X14" s="141">
        <f t="shared" si="4"/>
        <v>0</v>
      </c>
      <c r="Y14" s="141">
        <v>0</v>
      </c>
    </row>
    <row r="15" spans="1:25" ht="15" x14ac:dyDescent="0.25">
      <c r="A15" s="138" t="s">
        <v>466</v>
      </c>
      <c r="B15" s="142" t="s">
        <v>54</v>
      </c>
      <c r="C15" s="148" t="s">
        <v>219</v>
      </c>
      <c r="D15" s="139" t="str">
        <f>VLOOKUP(C15,'Seznam HS - nemaš'!$A$1:$B$96,2,FALSE)</f>
        <v>452500</v>
      </c>
      <c r="E15" s="243" t="s">
        <v>474</v>
      </c>
      <c r="F15" s="244" t="s">
        <v>389</v>
      </c>
      <c r="G15" s="154" t="s">
        <v>475</v>
      </c>
      <c r="H15" s="28">
        <f>+IF(ISBLANK(I15),0,VLOOKUP(I15,'8Příloha_2_ceník_pravid_úklid'!$B$9:$C$30,2,0))</f>
        <v>17</v>
      </c>
      <c r="I15" s="143" t="s">
        <v>13</v>
      </c>
      <c r="J15" s="145">
        <f>3.12*3.32</f>
        <v>10.3584</v>
      </c>
      <c r="K15" s="22" t="s">
        <v>50</v>
      </c>
      <c r="L15" s="198" t="s">
        <v>65</v>
      </c>
      <c r="M15" s="22" t="s">
        <v>49</v>
      </c>
      <c r="N15" s="19">
        <f>IF((VLOOKUP(I15,'8Příloha_2_ceník_pravid_úklid'!$B$9:$I$30,8,0))=0,VLOOKUP(I15,'8Příloha_2_ceník_pravid_úklid'!$B$9:$K$30,10,0),VLOOKUP(I15,'8Příloha_2_ceník_pravid_úklid'!$B$9:$I$30,8,0))</f>
        <v>0</v>
      </c>
      <c r="O15" s="20">
        <v>2</v>
      </c>
      <c r="P15" s="20">
        <v>1</v>
      </c>
      <c r="Q15" s="20">
        <v>0</v>
      </c>
      <c r="R15" s="20">
        <v>0</v>
      </c>
      <c r="S15" s="21">
        <f>NETWORKDAYS.INTL(DATE(2018,1,1),DATE(2018,12,31),1,{"2018/1/1";"2018/3/30";"2018/4/2";"2018/5/1";"2018/5/8";"2018/7/5";"2018/7/6";"2018/09/28";"2018/11/17";"2018/12/24";"2018/12/25";"2018/12/26"})</f>
        <v>250</v>
      </c>
      <c r="T15" s="21">
        <f t="shared" si="0"/>
        <v>115</v>
      </c>
      <c r="U15" s="21">
        <f t="shared" si="1"/>
        <v>365</v>
      </c>
      <c r="V15" s="144">
        <f t="shared" si="2"/>
        <v>500</v>
      </c>
      <c r="W15" s="140">
        <f t="shared" si="3"/>
        <v>0</v>
      </c>
      <c r="X15" s="141">
        <f t="shared" si="4"/>
        <v>0</v>
      </c>
      <c r="Y15" s="141">
        <v>0</v>
      </c>
    </row>
    <row r="16" spans="1:25" ht="15" x14ac:dyDescent="0.25">
      <c r="A16" s="138" t="s">
        <v>466</v>
      </c>
      <c r="B16" s="142" t="s">
        <v>54</v>
      </c>
      <c r="C16" s="148" t="s">
        <v>219</v>
      </c>
      <c r="D16" s="139" t="str">
        <f>VLOOKUP(C16,'Seznam HS - nemaš'!$A$1:$B$96,2,FALSE)</f>
        <v>452500</v>
      </c>
      <c r="E16" s="243" t="s">
        <v>410</v>
      </c>
      <c r="F16" s="244" t="s">
        <v>397</v>
      </c>
      <c r="G16" s="154"/>
      <c r="H16" s="28">
        <f>+IF(ISBLANK(I16),0,VLOOKUP(I16,'8Příloha_2_ceník_pravid_úklid'!$B$9:$C$30,2,0))</f>
        <v>6</v>
      </c>
      <c r="I16" s="143" t="s">
        <v>1</v>
      </c>
      <c r="J16" s="145">
        <f>1.14*1.14</f>
        <v>1.2995999999999999</v>
      </c>
      <c r="K16" s="22" t="s">
        <v>50</v>
      </c>
      <c r="L16" s="156" t="s">
        <v>21</v>
      </c>
      <c r="M16" s="22" t="s">
        <v>49</v>
      </c>
      <c r="N16" s="19">
        <f>IF((VLOOKUP(I16,'8Příloha_2_ceník_pravid_úklid'!$B$9:$I$30,8,0))=0,VLOOKUP(I16,'8Příloha_2_ceník_pravid_úklid'!$B$9:$K$30,10,0),VLOOKUP(I16,'8Příloha_2_ceník_pravid_úklid'!$B$9:$I$30,8,0))</f>
        <v>0</v>
      </c>
      <c r="O16" s="20">
        <v>1</v>
      </c>
      <c r="P16" s="20">
        <v>1</v>
      </c>
      <c r="Q16" s="20">
        <v>0</v>
      </c>
      <c r="R16" s="20">
        <v>0</v>
      </c>
      <c r="S16" s="21">
        <f>NETWORKDAYS.INTL(DATE(2018,1,1),DATE(2018,12,31),1,{"2018/1/1";"2018/3/30";"2018/4/2";"2018/5/1";"2018/5/8";"2018/7/5";"2018/7/6";"2018/09/28";"2018/11/17";"2018/12/24";"2018/12/25";"2018/12/26"})</f>
        <v>250</v>
      </c>
      <c r="T16" s="21">
        <f t="shared" si="0"/>
        <v>115</v>
      </c>
      <c r="U16" s="21">
        <f t="shared" si="1"/>
        <v>365</v>
      </c>
      <c r="V16" s="144">
        <f t="shared" si="2"/>
        <v>250</v>
      </c>
      <c r="W16" s="140">
        <f t="shared" si="3"/>
        <v>0</v>
      </c>
      <c r="X16" s="141">
        <f t="shared" si="4"/>
        <v>0</v>
      </c>
      <c r="Y16" s="141">
        <v>0</v>
      </c>
    </row>
    <row r="17" spans="1:25" ht="15" x14ac:dyDescent="0.25">
      <c r="A17" s="138" t="s">
        <v>466</v>
      </c>
      <c r="B17" s="142" t="s">
        <v>54</v>
      </c>
      <c r="C17" s="148" t="s">
        <v>219</v>
      </c>
      <c r="D17" s="139" t="str">
        <f>VLOOKUP(C17,'Seznam HS - nemaš'!$A$1:$B$96,2,FALSE)</f>
        <v>452500</v>
      </c>
      <c r="E17" s="243" t="s">
        <v>476</v>
      </c>
      <c r="F17" s="244" t="s">
        <v>53</v>
      </c>
      <c r="G17" s="154" t="s">
        <v>477</v>
      </c>
      <c r="H17" s="28">
        <f>+IF(ISBLANK(I17),0,VLOOKUP(I17,'8Příloha_2_ceník_pravid_úklid'!$B$9:$C$30,2,0))</f>
        <v>6</v>
      </c>
      <c r="I17" s="143" t="s">
        <v>1</v>
      </c>
      <c r="J17" s="145">
        <f>2.78*3.18</f>
        <v>8.8404000000000007</v>
      </c>
      <c r="K17" s="22" t="s">
        <v>50</v>
      </c>
      <c r="L17" s="198" t="s">
        <v>65</v>
      </c>
      <c r="M17" s="22" t="s">
        <v>49</v>
      </c>
      <c r="N17" s="19">
        <f>IF((VLOOKUP(I17,'8Příloha_2_ceník_pravid_úklid'!$B$9:$I$30,8,0))=0,VLOOKUP(I17,'8Příloha_2_ceník_pravid_úklid'!$B$9:$K$30,10,0),VLOOKUP(I17,'8Příloha_2_ceník_pravid_úklid'!$B$9:$I$30,8,0))</f>
        <v>0</v>
      </c>
      <c r="O17" s="20">
        <v>2</v>
      </c>
      <c r="P17" s="20">
        <v>1</v>
      </c>
      <c r="Q17" s="20">
        <v>0</v>
      </c>
      <c r="R17" s="20">
        <v>0</v>
      </c>
      <c r="S17" s="21">
        <f>NETWORKDAYS.INTL(DATE(2018,1,1),DATE(2018,12,31),1,{"2018/1/1";"2018/3/30";"2018/4/2";"2018/5/1";"2018/5/8";"2018/7/5";"2018/7/6";"2018/09/28";"2018/11/17";"2018/12/24";"2018/12/25";"2018/12/26"})</f>
        <v>250</v>
      </c>
      <c r="T17" s="21">
        <f t="shared" si="0"/>
        <v>115</v>
      </c>
      <c r="U17" s="21">
        <f t="shared" si="1"/>
        <v>365</v>
      </c>
      <c r="V17" s="144">
        <f t="shared" si="2"/>
        <v>500</v>
      </c>
      <c r="W17" s="140">
        <f t="shared" si="3"/>
        <v>0</v>
      </c>
      <c r="X17" s="141">
        <f t="shared" si="4"/>
        <v>0</v>
      </c>
      <c r="Y17" s="141">
        <v>0</v>
      </c>
    </row>
    <row r="18" spans="1:25" ht="15" x14ac:dyDescent="0.25">
      <c r="A18" s="138" t="s">
        <v>466</v>
      </c>
      <c r="B18" s="142" t="s">
        <v>54</v>
      </c>
      <c r="C18" s="148" t="s">
        <v>219</v>
      </c>
      <c r="D18" s="139" t="str">
        <f>VLOOKUP(C18,'Seznam HS - nemaš'!$A$1:$B$96,2,FALSE)</f>
        <v>452500</v>
      </c>
      <c r="E18" s="243" t="s">
        <v>478</v>
      </c>
      <c r="F18" s="244" t="s">
        <v>389</v>
      </c>
      <c r="G18" s="154" t="s">
        <v>479</v>
      </c>
      <c r="H18" s="28">
        <f>+IF(ISBLANK(I18),0,VLOOKUP(I18,'8Příloha_2_ceník_pravid_úklid'!$B$9:$C$30,2,0))</f>
        <v>17</v>
      </c>
      <c r="I18" s="143" t="s">
        <v>13</v>
      </c>
      <c r="J18" s="145">
        <f>1.81*3.34-1.04*0.7</f>
        <v>5.3174000000000001</v>
      </c>
      <c r="K18" s="22" t="s">
        <v>50</v>
      </c>
      <c r="L18" s="198" t="s">
        <v>89</v>
      </c>
      <c r="M18" s="22" t="s">
        <v>49</v>
      </c>
      <c r="N18" s="19">
        <f>IF((VLOOKUP(I18,'8Příloha_2_ceník_pravid_úklid'!$B$9:$I$30,8,0))=0,VLOOKUP(I18,'8Příloha_2_ceník_pravid_úklid'!$B$9:$K$30,10,0),VLOOKUP(I18,'8Příloha_2_ceník_pravid_úklid'!$B$9:$I$30,8,0))</f>
        <v>0</v>
      </c>
      <c r="O18" s="20">
        <v>1</v>
      </c>
      <c r="P18" s="20">
        <v>1</v>
      </c>
      <c r="Q18" s="20">
        <v>0</v>
      </c>
      <c r="R18" s="20">
        <v>0</v>
      </c>
      <c r="S18" s="21">
        <f>NETWORKDAYS.INTL(DATE(2018,1,1),DATE(2018,12,31),1,{"2018/1/1";"2018/3/30";"2018/4/2";"2018/5/1";"2018/5/8";"2018/7/5";"2018/7/6";"2018/09/28";"2018/11/17";"2018/12/24";"2018/12/25";"2018/12/26"})</f>
        <v>250</v>
      </c>
      <c r="T18" s="21">
        <f t="shared" si="0"/>
        <v>115</v>
      </c>
      <c r="U18" s="21">
        <f t="shared" si="1"/>
        <v>365</v>
      </c>
      <c r="V18" s="144">
        <f t="shared" si="2"/>
        <v>250</v>
      </c>
      <c r="W18" s="140">
        <f t="shared" si="3"/>
        <v>0</v>
      </c>
      <c r="X18" s="141">
        <f t="shared" si="4"/>
        <v>0</v>
      </c>
      <c r="Y18" s="141">
        <v>0</v>
      </c>
    </row>
    <row r="19" spans="1:25" ht="15" x14ac:dyDescent="0.25">
      <c r="A19" s="138" t="s">
        <v>466</v>
      </c>
      <c r="B19" s="142" t="s">
        <v>54</v>
      </c>
      <c r="C19" s="148" t="s">
        <v>219</v>
      </c>
      <c r="D19" s="139" t="str">
        <f>VLOOKUP(C19,'Seznam HS - nemaš'!$A$1:$B$96,2,FALSE)</f>
        <v>452500</v>
      </c>
      <c r="E19" s="243" t="s">
        <v>427</v>
      </c>
      <c r="F19" s="244" t="s">
        <v>472</v>
      </c>
      <c r="G19" s="154" t="s">
        <v>480</v>
      </c>
      <c r="H19" s="28">
        <f>+IF(ISBLANK(I19),0,VLOOKUP(I19,'8Příloha_2_ceník_pravid_úklid'!$B$9:$C$30,2,0))</f>
        <v>3</v>
      </c>
      <c r="I19" s="143" t="s">
        <v>3</v>
      </c>
      <c r="J19" s="145">
        <f>3.79*5.51</f>
        <v>20.882899999999999</v>
      </c>
      <c r="K19" s="22" t="s">
        <v>50</v>
      </c>
      <c r="L19" s="156" t="s">
        <v>21</v>
      </c>
      <c r="M19" s="22" t="s">
        <v>49</v>
      </c>
      <c r="N19" s="19">
        <f>IF((VLOOKUP(I19,'8Příloha_2_ceník_pravid_úklid'!$B$9:$I$30,8,0))=0,VLOOKUP(I19,'8Příloha_2_ceník_pravid_úklid'!$B$9:$K$30,10,0),VLOOKUP(I19,'8Příloha_2_ceník_pravid_úklid'!$B$9:$I$30,8,0))</f>
        <v>0</v>
      </c>
      <c r="O19" s="20">
        <v>1</v>
      </c>
      <c r="P19" s="20">
        <v>1</v>
      </c>
      <c r="Q19" s="20">
        <v>0</v>
      </c>
      <c r="R19" s="20">
        <v>0</v>
      </c>
      <c r="S19" s="21">
        <f>NETWORKDAYS.INTL(DATE(2018,1,1),DATE(2018,12,31),1,{"2018/1/1";"2018/3/30";"2018/4/2";"2018/5/1";"2018/5/8";"2018/7/5";"2018/7/6";"2018/09/28";"2018/11/17";"2018/12/24";"2018/12/25";"2018/12/26"})</f>
        <v>250</v>
      </c>
      <c r="T19" s="21">
        <f t="shared" si="0"/>
        <v>115</v>
      </c>
      <c r="U19" s="21">
        <f t="shared" si="1"/>
        <v>365</v>
      </c>
      <c r="V19" s="144">
        <f t="shared" si="2"/>
        <v>250</v>
      </c>
      <c r="W19" s="140">
        <f t="shared" si="3"/>
        <v>0</v>
      </c>
      <c r="X19" s="141">
        <f t="shared" si="4"/>
        <v>0</v>
      </c>
      <c r="Y19" s="141">
        <v>0</v>
      </c>
    </row>
    <row r="20" spans="1:25" ht="15" x14ac:dyDescent="0.25">
      <c r="A20" s="138" t="s">
        <v>466</v>
      </c>
      <c r="B20" s="142" t="s">
        <v>54</v>
      </c>
      <c r="C20" s="148" t="s">
        <v>219</v>
      </c>
      <c r="D20" s="139" t="str">
        <f>VLOOKUP(C20,'Seznam HS - nemaš'!$A$1:$B$96,2,FALSE)</f>
        <v>452500</v>
      </c>
      <c r="E20" s="243" t="s">
        <v>430</v>
      </c>
      <c r="F20" s="244" t="s">
        <v>389</v>
      </c>
      <c r="G20" s="244" t="s">
        <v>481</v>
      </c>
      <c r="H20" s="28">
        <f>+IF(ISBLANK(I20),0,VLOOKUP(I20,'8Příloha_2_ceník_pravid_úklid'!$B$9:$C$30,2,0))</f>
        <v>17</v>
      </c>
      <c r="I20" s="143" t="s">
        <v>13</v>
      </c>
      <c r="J20" s="145">
        <f>4.05*5.52-4.7</f>
        <v>17.655999999999999</v>
      </c>
      <c r="K20" s="22" t="s">
        <v>50</v>
      </c>
      <c r="L20" s="156" t="s">
        <v>21</v>
      </c>
      <c r="M20" s="22" t="s">
        <v>49</v>
      </c>
      <c r="N20" s="19">
        <f>IF((VLOOKUP(I20,'8Příloha_2_ceník_pravid_úklid'!$B$9:$I$30,8,0))=0,VLOOKUP(I20,'8Příloha_2_ceník_pravid_úklid'!$B$9:$K$30,10,0),VLOOKUP(I20,'8Příloha_2_ceník_pravid_úklid'!$B$9:$I$30,8,0))</f>
        <v>0</v>
      </c>
      <c r="O20" s="20">
        <v>1</v>
      </c>
      <c r="P20" s="20">
        <v>1</v>
      </c>
      <c r="Q20" s="20">
        <v>0</v>
      </c>
      <c r="R20" s="20">
        <v>0</v>
      </c>
      <c r="S20" s="21">
        <f>NETWORKDAYS.INTL(DATE(2018,1,1),DATE(2018,12,31),1,{"2018/1/1";"2018/3/30";"2018/4/2";"2018/5/1";"2018/5/8";"2018/7/5";"2018/7/6";"2018/09/28";"2018/11/17";"2018/12/24";"2018/12/25";"2018/12/26"})</f>
        <v>250</v>
      </c>
      <c r="T20" s="21">
        <f t="shared" si="0"/>
        <v>115</v>
      </c>
      <c r="U20" s="21">
        <f t="shared" si="1"/>
        <v>365</v>
      </c>
      <c r="V20" s="144">
        <f t="shared" si="2"/>
        <v>250</v>
      </c>
      <c r="W20" s="140">
        <f t="shared" si="3"/>
        <v>0</v>
      </c>
      <c r="X20" s="141">
        <f t="shared" si="4"/>
        <v>0</v>
      </c>
      <c r="Y20" s="141">
        <v>0</v>
      </c>
    </row>
    <row r="21" spans="1:25" ht="15" x14ac:dyDescent="0.25">
      <c r="A21" s="138" t="s">
        <v>466</v>
      </c>
      <c r="B21" s="142" t="s">
        <v>54</v>
      </c>
      <c r="C21" s="148" t="s">
        <v>219</v>
      </c>
      <c r="D21" s="139" t="str">
        <f>VLOOKUP(C21,'Seznam HS - nemaš'!$A$1:$B$96,2,FALSE)</f>
        <v>452500</v>
      </c>
      <c r="E21" s="277" t="s">
        <v>482</v>
      </c>
      <c r="F21" s="293" t="s">
        <v>477</v>
      </c>
      <c r="G21" s="293" t="s">
        <v>483</v>
      </c>
      <c r="H21" s="28">
        <f>+IF(ISBLANK(I21),0,VLOOKUP(I21,'8Příloha_2_ceník_pravid_úklid'!$B$9:$C$30,2,0))</f>
        <v>3</v>
      </c>
      <c r="I21" s="143" t="s">
        <v>3</v>
      </c>
      <c r="J21" s="145">
        <f>3.03*3.83</f>
        <v>11.604899999999999</v>
      </c>
      <c r="K21" s="22" t="s">
        <v>51</v>
      </c>
      <c r="L21" s="22" t="s">
        <v>65</v>
      </c>
      <c r="M21" s="22" t="s">
        <v>49</v>
      </c>
      <c r="N21" s="19">
        <f>IF((VLOOKUP(I21,'8Příloha_2_ceník_pravid_úklid'!$B$9:$I$30,8,0))=0,VLOOKUP(I21,'8Příloha_2_ceník_pravid_úklid'!$B$9:$K$30,10,0),VLOOKUP(I21,'8Příloha_2_ceník_pravid_úklid'!$B$9:$I$30,8,0))</f>
        <v>0</v>
      </c>
      <c r="O21" s="20">
        <v>2</v>
      </c>
      <c r="P21" s="20">
        <v>1</v>
      </c>
      <c r="Q21" s="20">
        <v>0</v>
      </c>
      <c r="R21" s="20">
        <v>0</v>
      </c>
      <c r="S21" s="21">
        <f>NETWORKDAYS.INTL(DATE(2018,1,1),DATE(2018,12,31),1,{"2018/1/1";"2018/3/30";"2018/4/2";"2018/5/1";"2018/5/8";"2018/7/5";"2018/7/6";"2018/09/28";"2018/11/17";"2018/12/24";"2018/12/25";"2018/12/26"})</f>
        <v>250</v>
      </c>
      <c r="T21" s="21">
        <f t="shared" si="0"/>
        <v>115</v>
      </c>
      <c r="U21" s="21">
        <f t="shared" si="1"/>
        <v>365</v>
      </c>
      <c r="V21" s="144">
        <f t="shared" si="2"/>
        <v>500</v>
      </c>
      <c r="W21" s="140">
        <f t="shared" si="3"/>
        <v>0</v>
      </c>
      <c r="X21" s="141">
        <f t="shared" si="4"/>
        <v>0</v>
      </c>
      <c r="Y21" s="141">
        <v>0</v>
      </c>
    </row>
    <row r="22" spans="1:25" ht="15" x14ac:dyDescent="0.25">
      <c r="A22" s="138" t="s">
        <v>466</v>
      </c>
      <c r="B22" s="142" t="s">
        <v>54</v>
      </c>
      <c r="C22" s="148" t="s">
        <v>219</v>
      </c>
      <c r="D22" s="139" t="str">
        <f>VLOOKUP(C22,'Seznam HS - nemaš'!$A$1:$B$96,2,FALSE)</f>
        <v>452500</v>
      </c>
      <c r="E22" s="277" t="s">
        <v>484</v>
      </c>
      <c r="F22" s="244" t="s">
        <v>389</v>
      </c>
      <c r="G22" s="244" t="s">
        <v>485</v>
      </c>
      <c r="H22" s="28">
        <f>+IF(ISBLANK(I22),0,VLOOKUP(I22,'8Příloha_2_ceník_pravid_úklid'!$B$9:$C$30,2,0))</f>
        <v>17</v>
      </c>
      <c r="I22" s="143" t="s">
        <v>13</v>
      </c>
      <c r="J22" s="145">
        <f>2.8*3.83</f>
        <v>10.724</v>
      </c>
      <c r="K22" s="22" t="s">
        <v>51</v>
      </c>
      <c r="L22" s="156" t="s">
        <v>21</v>
      </c>
      <c r="M22" s="22" t="s">
        <v>49</v>
      </c>
      <c r="N22" s="19">
        <f>IF((VLOOKUP(I22,'8Příloha_2_ceník_pravid_úklid'!$B$9:$I$30,8,0))=0,VLOOKUP(I22,'8Příloha_2_ceník_pravid_úklid'!$B$9:$K$30,10,0),VLOOKUP(I22,'8Příloha_2_ceník_pravid_úklid'!$B$9:$I$30,8,0))</f>
        <v>0</v>
      </c>
      <c r="O22" s="20">
        <v>1</v>
      </c>
      <c r="P22" s="20">
        <v>1</v>
      </c>
      <c r="Q22" s="20">
        <v>0</v>
      </c>
      <c r="R22" s="20">
        <v>0</v>
      </c>
      <c r="S22" s="21">
        <f>NETWORKDAYS.INTL(DATE(2018,1,1),DATE(2018,12,31),1,{"2018/1/1";"2018/3/30";"2018/4/2";"2018/5/1";"2018/5/8";"2018/7/5";"2018/7/6";"2018/09/28";"2018/11/17";"2018/12/24";"2018/12/25";"2018/12/26"})</f>
        <v>250</v>
      </c>
      <c r="T22" s="21">
        <f t="shared" si="0"/>
        <v>115</v>
      </c>
      <c r="U22" s="21">
        <f t="shared" si="1"/>
        <v>365</v>
      </c>
      <c r="V22" s="144">
        <f t="shared" si="2"/>
        <v>250</v>
      </c>
      <c r="W22" s="140">
        <f t="shared" si="3"/>
        <v>0</v>
      </c>
      <c r="X22" s="141">
        <f t="shared" si="4"/>
        <v>0</v>
      </c>
      <c r="Y22" s="141">
        <v>0</v>
      </c>
    </row>
    <row r="23" spans="1:25" ht="15" x14ac:dyDescent="0.25">
      <c r="A23" s="138" t="s">
        <v>466</v>
      </c>
      <c r="B23" s="142" t="s">
        <v>54</v>
      </c>
      <c r="C23" s="148" t="s">
        <v>219</v>
      </c>
      <c r="D23" s="139" t="str">
        <f>VLOOKUP(C23,'Seznam HS - nemaš'!$A$1:$B$96,2,FALSE)</f>
        <v>452500</v>
      </c>
      <c r="E23" s="277" t="s">
        <v>414</v>
      </c>
      <c r="F23" s="244" t="s">
        <v>389</v>
      </c>
      <c r="G23" s="244" t="s">
        <v>486</v>
      </c>
      <c r="H23" s="28">
        <f>+IF(ISBLANK(I23),0,VLOOKUP(I23,'8Příloha_2_ceník_pravid_úklid'!$B$9:$C$30,2,0))</f>
        <v>17</v>
      </c>
      <c r="I23" s="143" t="s">
        <v>13</v>
      </c>
      <c r="J23" s="145">
        <f>2.3*3.95</f>
        <v>9.0849999999999991</v>
      </c>
      <c r="K23" s="22" t="s">
        <v>50</v>
      </c>
      <c r="L23" s="198" t="s">
        <v>487</v>
      </c>
      <c r="M23" s="22" t="s">
        <v>49</v>
      </c>
      <c r="N23" s="19">
        <f>IF((VLOOKUP(I23,'8Příloha_2_ceník_pravid_úklid'!$B$9:$I$30,8,0))=0,VLOOKUP(I23,'8Příloha_2_ceník_pravid_úklid'!$B$9:$K$30,10,0),VLOOKUP(I23,'8Příloha_2_ceník_pravid_úklid'!$B$9:$I$30,8,0))</f>
        <v>0</v>
      </c>
      <c r="O23" s="20">
        <v>1</v>
      </c>
      <c r="P23" s="20">
        <f>1/5</f>
        <v>0.2</v>
      </c>
      <c r="Q23" s="20">
        <v>0</v>
      </c>
      <c r="R23" s="20">
        <v>0</v>
      </c>
      <c r="S23" s="21">
        <f>NETWORKDAYS.INTL(DATE(2018,1,1),DATE(2018,12,31),1,{"2018/1/1";"2018/3/30";"2018/4/2";"2018/5/1";"2018/5/8";"2018/7/5";"2018/7/6";"2018/09/28";"2018/11/17";"2018/12/24";"2018/12/25";"2018/12/26"})</f>
        <v>250</v>
      </c>
      <c r="T23" s="21">
        <f t="shared" si="0"/>
        <v>115</v>
      </c>
      <c r="U23" s="21">
        <f t="shared" si="1"/>
        <v>365</v>
      </c>
      <c r="V23" s="144">
        <f t="shared" si="2"/>
        <v>50</v>
      </c>
      <c r="W23" s="140">
        <f t="shared" si="3"/>
        <v>0</v>
      </c>
      <c r="X23" s="141">
        <f t="shared" si="4"/>
        <v>0</v>
      </c>
      <c r="Y23" s="141">
        <v>0</v>
      </c>
    </row>
    <row r="24" spans="1:25" ht="15" x14ac:dyDescent="0.25">
      <c r="A24" s="138" t="s">
        <v>466</v>
      </c>
      <c r="B24" s="142" t="s">
        <v>54</v>
      </c>
      <c r="C24" s="148" t="s">
        <v>219</v>
      </c>
      <c r="D24" s="139" t="str">
        <f>VLOOKUP(C24,'Seznam HS - nemaš'!$A$1:$B$96,2,FALSE)</f>
        <v>452500</v>
      </c>
      <c r="E24" s="277" t="s">
        <v>415</v>
      </c>
      <c r="F24" s="244" t="s">
        <v>329</v>
      </c>
      <c r="G24" s="154" t="s">
        <v>488</v>
      </c>
      <c r="H24" s="28">
        <f>+IF(ISBLANK(I24),0,VLOOKUP(I24,'8Příloha_2_ceník_pravid_úklid'!$B$9:$C$30,2,0))</f>
        <v>4</v>
      </c>
      <c r="I24" s="143" t="s">
        <v>9</v>
      </c>
      <c r="J24" s="145">
        <f>3.93*2.77</f>
        <v>10.886100000000001</v>
      </c>
      <c r="K24" s="22" t="s">
        <v>51</v>
      </c>
      <c r="L24" s="198" t="s">
        <v>487</v>
      </c>
      <c r="M24" s="22" t="s">
        <v>49</v>
      </c>
      <c r="N24" s="19">
        <f>IF((VLOOKUP(I24,'8Příloha_2_ceník_pravid_úklid'!$B$9:$I$30,8,0))=0,VLOOKUP(I24,'8Příloha_2_ceník_pravid_úklid'!$B$9:$K$30,10,0),VLOOKUP(I24,'8Příloha_2_ceník_pravid_úklid'!$B$9:$I$30,8,0))</f>
        <v>0</v>
      </c>
      <c r="O24" s="20">
        <v>1</v>
      </c>
      <c r="P24" s="20">
        <f>1/5</f>
        <v>0.2</v>
      </c>
      <c r="Q24" s="20">
        <v>0</v>
      </c>
      <c r="R24" s="20">
        <v>0</v>
      </c>
      <c r="S24" s="21">
        <f>NETWORKDAYS.INTL(DATE(2018,1,1),DATE(2018,12,31),1,{"2018/1/1";"2018/3/30";"2018/4/2";"2018/5/1";"2018/5/8";"2018/7/5";"2018/7/6";"2018/09/28";"2018/11/17";"2018/12/24";"2018/12/25";"2018/12/26"})</f>
        <v>250</v>
      </c>
      <c r="T24" s="21">
        <f t="shared" si="0"/>
        <v>115</v>
      </c>
      <c r="U24" s="21">
        <f t="shared" si="1"/>
        <v>365</v>
      </c>
      <c r="V24" s="144">
        <f t="shared" si="2"/>
        <v>50</v>
      </c>
      <c r="W24" s="140">
        <f t="shared" si="3"/>
        <v>0</v>
      </c>
      <c r="X24" s="141">
        <f t="shared" si="4"/>
        <v>0</v>
      </c>
      <c r="Y24" s="141">
        <v>0</v>
      </c>
    </row>
    <row r="25" spans="1:25" ht="15" x14ac:dyDescent="0.25">
      <c r="A25" s="138" t="s">
        <v>466</v>
      </c>
      <c r="B25" s="142" t="s">
        <v>54</v>
      </c>
      <c r="C25" s="148" t="s">
        <v>219</v>
      </c>
      <c r="D25" s="139" t="str">
        <f>VLOOKUP(C25,'Seznam HS - nemaš'!$A$1:$B$96,2,FALSE)</f>
        <v>452500</v>
      </c>
      <c r="E25" s="277" t="s">
        <v>416</v>
      </c>
      <c r="F25" s="244" t="s">
        <v>489</v>
      </c>
      <c r="G25" s="154"/>
      <c r="H25" s="28">
        <f>+IF(ISBLANK(I25),0,VLOOKUP(I25,'8Příloha_2_ceník_pravid_úklid'!$B$9:$C$30,2,0))</f>
        <v>2</v>
      </c>
      <c r="I25" s="143" t="s">
        <v>2</v>
      </c>
      <c r="J25" s="145">
        <f>2.57*3.97</f>
        <v>10.2029</v>
      </c>
      <c r="K25" s="22" t="s">
        <v>51</v>
      </c>
      <c r="L25" s="294" t="s">
        <v>65</v>
      </c>
      <c r="M25" s="22" t="s">
        <v>49</v>
      </c>
      <c r="N25" s="19">
        <f>IF((VLOOKUP(I25,'8Příloha_2_ceník_pravid_úklid'!$B$9:$I$30,8,0))=0,VLOOKUP(I25,'8Příloha_2_ceník_pravid_úklid'!$B$9:$K$30,10,0),VLOOKUP(I25,'8Příloha_2_ceník_pravid_úklid'!$B$9:$I$30,8,0))</f>
        <v>0</v>
      </c>
      <c r="O25" s="20">
        <v>2</v>
      </c>
      <c r="P25" s="20">
        <v>1</v>
      </c>
      <c r="Q25" s="20">
        <v>0</v>
      </c>
      <c r="R25" s="20">
        <v>0</v>
      </c>
      <c r="S25" s="21">
        <f>NETWORKDAYS.INTL(DATE(2018,1,1),DATE(2018,12,31),1,{"2018/1/1";"2018/3/30";"2018/4/2";"2018/5/1";"2018/5/8";"2018/7/5";"2018/7/6";"2018/09/28";"2018/11/17";"2018/12/24";"2018/12/25";"2018/12/26"})</f>
        <v>250</v>
      </c>
      <c r="T25" s="21">
        <f t="shared" si="0"/>
        <v>115</v>
      </c>
      <c r="U25" s="21">
        <f t="shared" si="1"/>
        <v>365</v>
      </c>
      <c r="V25" s="144">
        <f t="shared" si="2"/>
        <v>500</v>
      </c>
      <c r="W25" s="140">
        <f t="shared" si="3"/>
        <v>0</v>
      </c>
      <c r="X25" s="141">
        <f t="shared" si="4"/>
        <v>0</v>
      </c>
      <c r="Y25" s="141">
        <v>0</v>
      </c>
    </row>
    <row r="26" spans="1:25" ht="15" x14ac:dyDescent="0.25">
      <c r="A26" s="138" t="s">
        <v>466</v>
      </c>
      <c r="B26" s="142" t="s">
        <v>54</v>
      </c>
      <c r="C26" s="148" t="s">
        <v>219</v>
      </c>
      <c r="D26" s="139" t="str">
        <f>VLOOKUP(C26,'Seznam HS - nemaš'!$A$1:$B$96,2,FALSE)</f>
        <v>452500</v>
      </c>
      <c r="E26" s="243" t="s">
        <v>452</v>
      </c>
      <c r="F26" s="244" t="s">
        <v>490</v>
      </c>
      <c r="G26" s="154"/>
      <c r="H26" s="28">
        <f>+IF(ISBLANK(I26),0,VLOOKUP(I26,'8Příloha_2_ceník_pravid_úklid'!$B$9:$C$30,2,0))</f>
        <v>2</v>
      </c>
      <c r="I26" s="143" t="s">
        <v>2</v>
      </c>
      <c r="J26" s="145">
        <f>3.94*5.13</f>
        <v>20.212199999999999</v>
      </c>
      <c r="K26" s="22" t="s">
        <v>51</v>
      </c>
      <c r="L26" s="198" t="s">
        <v>65</v>
      </c>
      <c r="M26" s="22" t="s">
        <v>49</v>
      </c>
      <c r="N26" s="19">
        <f>IF((VLOOKUP(I26,'8Příloha_2_ceník_pravid_úklid'!$B$9:$I$30,8,0))=0,VLOOKUP(I26,'8Příloha_2_ceník_pravid_úklid'!$B$9:$K$30,10,0),VLOOKUP(I26,'8Příloha_2_ceník_pravid_úklid'!$B$9:$I$30,8,0))</f>
        <v>0</v>
      </c>
      <c r="O26" s="20">
        <v>2</v>
      </c>
      <c r="P26" s="20">
        <v>1</v>
      </c>
      <c r="Q26" s="20">
        <v>0</v>
      </c>
      <c r="R26" s="20">
        <v>0</v>
      </c>
      <c r="S26" s="21">
        <f>NETWORKDAYS.INTL(DATE(2018,1,1),DATE(2018,12,31),1,{"2018/1/1";"2018/3/30";"2018/4/2";"2018/5/1";"2018/5/8";"2018/7/5";"2018/7/6";"2018/09/28";"2018/11/17";"2018/12/24";"2018/12/25";"2018/12/26"})</f>
        <v>250</v>
      </c>
      <c r="T26" s="21">
        <f t="shared" si="0"/>
        <v>115</v>
      </c>
      <c r="U26" s="21">
        <f t="shared" si="1"/>
        <v>365</v>
      </c>
      <c r="V26" s="144">
        <f t="shared" si="2"/>
        <v>500</v>
      </c>
      <c r="W26" s="140">
        <f t="shared" si="3"/>
        <v>0</v>
      </c>
      <c r="X26" s="141">
        <f t="shared" si="4"/>
        <v>0</v>
      </c>
      <c r="Y26" s="141">
        <v>0</v>
      </c>
    </row>
    <row r="27" spans="1:25" ht="15" x14ac:dyDescent="0.25">
      <c r="A27" s="138" t="s">
        <v>466</v>
      </c>
      <c r="B27" s="142" t="s">
        <v>54</v>
      </c>
      <c r="C27" s="148" t="s">
        <v>219</v>
      </c>
      <c r="D27" s="139" t="str">
        <f>VLOOKUP(C27,'Seznam HS - nemaš'!$A$1:$B$96,2,FALSE)</f>
        <v>452500</v>
      </c>
      <c r="E27" s="277" t="s">
        <v>491</v>
      </c>
      <c r="F27" s="244" t="s">
        <v>492</v>
      </c>
      <c r="G27" s="154" t="s">
        <v>493</v>
      </c>
      <c r="H27" s="28">
        <f>+IF(ISBLANK(I27),0,VLOOKUP(I27,'8Příloha_2_ceník_pravid_úklid'!$B$9:$C$30,2,0))</f>
        <v>4</v>
      </c>
      <c r="I27" s="143" t="s">
        <v>9</v>
      </c>
      <c r="J27" s="145">
        <f>5.98*3.85</f>
        <v>23.023000000000003</v>
      </c>
      <c r="K27" s="22" t="s">
        <v>51</v>
      </c>
      <c r="L27" s="156" t="s">
        <v>21</v>
      </c>
      <c r="M27" s="22" t="s">
        <v>49</v>
      </c>
      <c r="N27" s="19">
        <f>IF((VLOOKUP(I27,'8Příloha_2_ceník_pravid_úklid'!$B$9:$I$30,8,0))=0,VLOOKUP(I27,'8Příloha_2_ceník_pravid_úklid'!$B$9:$K$30,10,0),VLOOKUP(I27,'8Příloha_2_ceník_pravid_úklid'!$B$9:$I$30,8,0))</f>
        <v>0</v>
      </c>
      <c r="O27" s="20">
        <v>1</v>
      </c>
      <c r="P27" s="20">
        <v>1</v>
      </c>
      <c r="Q27" s="20">
        <v>0</v>
      </c>
      <c r="R27" s="20">
        <v>0</v>
      </c>
      <c r="S27" s="21">
        <f>NETWORKDAYS.INTL(DATE(2018,1,1),DATE(2018,12,31),1,{"2018/1/1";"2018/3/30";"2018/4/2";"2018/5/1";"2018/5/8";"2018/7/5";"2018/7/6";"2018/09/28";"2018/11/17";"2018/12/24";"2018/12/25";"2018/12/26"})</f>
        <v>250</v>
      </c>
      <c r="T27" s="21">
        <f t="shared" si="0"/>
        <v>115</v>
      </c>
      <c r="U27" s="21">
        <f t="shared" si="1"/>
        <v>365</v>
      </c>
      <c r="V27" s="144">
        <f t="shared" si="2"/>
        <v>250</v>
      </c>
      <c r="W27" s="140">
        <f t="shared" si="3"/>
        <v>0</v>
      </c>
      <c r="X27" s="141">
        <f t="shared" si="4"/>
        <v>0</v>
      </c>
      <c r="Y27" s="141">
        <v>0</v>
      </c>
    </row>
    <row r="28" spans="1:25" ht="15" x14ac:dyDescent="0.25">
      <c r="A28" s="138" t="s">
        <v>466</v>
      </c>
      <c r="B28" s="142" t="s">
        <v>54</v>
      </c>
      <c r="C28" s="148" t="s">
        <v>219</v>
      </c>
      <c r="D28" s="139" t="str">
        <f>VLOOKUP(C28,'Seznam HS - nemaš'!$A$1:$B$96,2,FALSE)</f>
        <v>452500</v>
      </c>
      <c r="E28" s="277" t="s">
        <v>418</v>
      </c>
      <c r="F28" s="244" t="s">
        <v>494</v>
      </c>
      <c r="G28" s="154" t="s">
        <v>495</v>
      </c>
      <c r="H28" s="28">
        <f>+IF(ISBLANK(I28),0,VLOOKUP(I28,'8Příloha_2_ceník_pravid_úklid'!$B$9:$C$30,2,0))</f>
        <v>10</v>
      </c>
      <c r="I28" s="143" t="s">
        <v>0</v>
      </c>
      <c r="J28" s="145">
        <f>2.52*4.38</f>
        <v>11.037599999999999</v>
      </c>
      <c r="K28" s="22" t="s">
        <v>51</v>
      </c>
      <c r="L28" s="156" t="s">
        <v>21</v>
      </c>
      <c r="M28" s="22" t="s">
        <v>49</v>
      </c>
      <c r="N28" s="19">
        <f>IF((VLOOKUP(I28,'8Příloha_2_ceník_pravid_úklid'!$B$9:$I$30,8,0))=0,VLOOKUP(I28,'8Příloha_2_ceník_pravid_úklid'!$B$9:$K$30,10,0),VLOOKUP(I28,'8Příloha_2_ceník_pravid_úklid'!$B$9:$I$30,8,0))</f>
        <v>0</v>
      </c>
      <c r="O28" s="20">
        <v>1</v>
      </c>
      <c r="P28" s="20">
        <v>1</v>
      </c>
      <c r="Q28" s="20">
        <v>0</v>
      </c>
      <c r="R28" s="20">
        <v>0</v>
      </c>
      <c r="S28" s="21">
        <f>NETWORKDAYS.INTL(DATE(2018,1,1),DATE(2018,12,31),1,{"2018/1/1";"2018/3/30";"2018/4/2";"2018/5/1";"2018/5/8";"2018/7/5";"2018/7/6";"2018/09/28";"2018/11/17";"2018/12/24";"2018/12/25";"2018/12/26"})</f>
        <v>250</v>
      </c>
      <c r="T28" s="21">
        <f t="shared" si="0"/>
        <v>115</v>
      </c>
      <c r="U28" s="21">
        <f t="shared" si="1"/>
        <v>365</v>
      </c>
      <c r="V28" s="144">
        <f t="shared" si="2"/>
        <v>250</v>
      </c>
      <c r="W28" s="140">
        <f t="shared" si="3"/>
        <v>0</v>
      </c>
      <c r="X28" s="141">
        <f t="shared" si="4"/>
        <v>0</v>
      </c>
      <c r="Y28" s="141">
        <v>0</v>
      </c>
    </row>
    <row r="29" spans="1:25" ht="15" x14ac:dyDescent="0.25">
      <c r="A29" s="138" t="s">
        <v>466</v>
      </c>
      <c r="B29" s="142" t="s">
        <v>54</v>
      </c>
      <c r="C29" s="148" t="s">
        <v>219</v>
      </c>
      <c r="D29" s="139" t="str">
        <f>VLOOKUP(C29,'Seznam HS - nemaš'!$A$1:$B$96,2,FALSE)</f>
        <v>452500</v>
      </c>
      <c r="E29" s="277" t="s">
        <v>419</v>
      </c>
      <c r="F29" s="244" t="s">
        <v>477</v>
      </c>
      <c r="G29" s="154"/>
      <c r="H29" s="28">
        <f>+IF(ISBLANK(I29),0,VLOOKUP(I29,'8Příloha_2_ceník_pravid_úklid'!$B$9:$C$30,2,0))</f>
        <v>7</v>
      </c>
      <c r="I29" s="143" t="s">
        <v>14</v>
      </c>
      <c r="J29" s="145">
        <f>4.38*2.98</f>
        <v>13.0524</v>
      </c>
      <c r="K29" s="22" t="s">
        <v>50</v>
      </c>
      <c r="L29" s="156" t="s">
        <v>21</v>
      </c>
      <c r="M29" s="22" t="s">
        <v>49</v>
      </c>
      <c r="N29" s="19">
        <f>IF((VLOOKUP(I29,'8Příloha_2_ceník_pravid_úklid'!$B$9:$I$30,8,0))=0,VLOOKUP(I29,'8Příloha_2_ceník_pravid_úklid'!$B$9:$K$30,10,0),VLOOKUP(I29,'8Příloha_2_ceník_pravid_úklid'!$B$9:$I$30,8,0))</f>
        <v>0</v>
      </c>
      <c r="O29" s="20">
        <v>1</v>
      </c>
      <c r="P29" s="20">
        <v>1</v>
      </c>
      <c r="Q29" s="20">
        <v>0</v>
      </c>
      <c r="R29" s="20">
        <v>0</v>
      </c>
      <c r="S29" s="21">
        <f>NETWORKDAYS.INTL(DATE(2018,1,1),DATE(2018,12,31),1,{"2018/1/1";"2018/3/30";"2018/4/2";"2018/5/1";"2018/5/8";"2018/7/5";"2018/7/6";"2018/09/28";"2018/11/17";"2018/12/24";"2018/12/25";"2018/12/26"})</f>
        <v>250</v>
      </c>
      <c r="T29" s="21">
        <f t="shared" si="0"/>
        <v>115</v>
      </c>
      <c r="U29" s="21">
        <f t="shared" si="1"/>
        <v>365</v>
      </c>
      <c r="V29" s="144">
        <f t="shared" si="2"/>
        <v>250</v>
      </c>
      <c r="W29" s="140">
        <f t="shared" si="3"/>
        <v>0</v>
      </c>
      <c r="X29" s="141">
        <f t="shared" si="4"/>
        <v>0</v>
      </c>
      <c r="Y29" s="141">
        <v>0</v>
      </c>
    </row>
    <row r="30" spans="1:25" ht="15" x14ac:dyDescent="0.25">
      <c r="A30" s="138" t="s">
        <v>466</v>
      </c>
      <c r="B30" s="142" t="s">
        <v>54</v>
      </c>
      <c r="C30" s="148" t="s">
        <v>219</v>
      </c>
      <c r="D30" s="139" t="str">
        <f>VLOOKUP(C30,'Seznam HS - nemaš'!$A$1:$B$96,2,FALSE)</f>
        <v>452500</v>
      </c>
      <c r="E30" s="243" t="s">
        <v>448</v>
      </c>
      <c r="F30" s="244" t="s">
        <v>437</v>
      </c>
      <c r="G30" s="154"/>
      <c r="H30" s="28">
        <f>+IF(ISBLANK(I30),0,VLOOKUP(I30,'8Příloha_2_ceník_pravid_úklid'!$B$9:$C$30,2,0))</f>
        <v>7</v>
      </c>
      <c r="I30" s="143" t="s">
        <v>14</v>
      </c>
      <c r="J30" s="145">
        <f>1.15*0.85</f>
        <v>0.97749999999999992</v>
      </c>
      <c r="K30" s="22" t="s">
        <v>51</v>
      </c>
      <c r="L30" s="156" t="s">
        <v>21</v>
      </c>
      <c r="M30" s="22" t="s">
        <v>49</v>
      </c>
      <c r="N30" s="19">
        <f>IF((VLOOKUP(I30,'8Příloha_2_ceník_pravid_úklid'!$B$9:$I$30,8,0))=0,VLOOKUP(I30,'8Příloha_2_ceník_pravid_úklid'!$B$9:$K$30,10,0),VLOOKUP(I30,'8Příloha_2_ceník_pravid_úklid'!$B$9:$I$30,8,0))</f>
        <v>0</v>
      </c>
      <c r="O30" s="20">
        <v>1</v>
      </c>
      <c r="P30" s="20">
        <v>1</v>
      </c>
      <c r="Q30" s="20">
        <v>0</v>
      </c>
      <c r="R30" s="20">
        <v>0</v>
      </c>
      <c r="S30" s="21">
        <f>NETWORKDAYS.INTL(DATE(2018,1,1),DATE(2018,12,31),1,{"2018/1/1";"2018/3/30";"2018/4/2";"2018/5/1";"2018/5/8";"2018/7/5";"2018/7/6";"2018/09/28";"2018/11/17";"2018/12/24";"2018/12/25";"2018/12/26"})</f>
        <v>250</v>
      </c>
      <c r="T30" s="21">
        <f t="shared" si="0"/>
        <v>115</v>
      </c>
      <c r="U30" s="21">
        <f t="shared" si="1"/>
        <v>365</v>
      </c>
      <c r="V30" s="144">
        <f t="shared" si="2"/>
        <v>250</v>
      </c>
      <c r="W30" s="140">
        <f t="shared" si="3"/>
        <v>0</v>
      </c>
      <c r="X30" s="141">
        <f t="shared" si="4"/>
        <v>0</v>
      </c>
      <c r="Y30" s="141">
        <v>0</v>
      </c>
    </row>
    <row r="31" spans="1:25" ht="15" x14ac:dyDescent="0.25">
      <c r="A31" s="138" t="s">
        <v>466</v>
      </c>
      <c r="B31" s="142" t="s">
        <v>54</v>
      </c>
      <c r="C31" s="148" t="s">
        <v>219</v>
      </c>
      <c r="D31" s="139" t="str">
        <f>VLOOKUP(C31,'Seznam HS - nemaš'!$A$1:$B$96,2,FALSE)</f>
        <v>452500</v>
      </c>
      <c r="E31" s="277" t="s">
        <v>450</v>
      </c>
      <c r="F31" s="244" t="s">
        <v>494</v>
      </c>
      <c r="G31" s="154" t="s">
        <v>498</v>
      </c>
      <c r="H31" s="28">
        <f>+IF(ISBLANK(I31),0,VLOOKUP(I31,'8Příloha_2_ceník_pravid_úklid'!$B$9:$C$30,2,0))</f>
        <v>10</v>
      </c>
      <c r="I31" s="143" t="s">
        <v>0</v>
      </c>
      <c r="J31" s="145">
        <f>3.5*5.63-1*1.27</f>
        <v>18.434999999999999</v>
      </c>
      <c r="K31" s="22" t="s">
        <v>51</v>
      </c>
      <c r="L31" s="156" t="s">
        <v>21</v>
      </c>
      <c r="M31" s="22" t="s">
        <v>49</v>
      </c>
      <c r="N31" s="19">
        <f>IF((VLOOKUP(I31,'8Příloha_2_ceník_pravid_úklid'!$B$9:$I$30,8,0))=0,VLOOKUP(I31,'8Příloha_2_ceník_pravid_úklid'!$B$9:$K$30,10,0),VLOOKUP(I31,'8Příloha_2_ceník_pravid_úklid'!$B$9:$I$30,8,0))</f>
        <v>0</v>
      </c>
      <c r="O31" s="20">
        <v>1</v>
      </c>
      <c r="P31" s="20">
        <v>1</v>
      </c>
      <c r="Q31" s="20">
        <v>0</v>
      </c>
      <c r="R31" s="20">
        <v>0</v>
      </c>
      <c r="S31" s="21">
        <f>NETWORKDAYS.INTL(DATE(2018,1,1),DATE(2018,12,31),1,{"2018/1/1";"2018/3/30";"2018/4/2";"2018/5/1";"2018/5/8";"2018/7/5";"2018/7/6";"2018/09/28";"2018/11/17";"2018/12/24";"2018/12/25";"2018/12/26"})</f>
        <v>250</v>
      </c>
      <c r="T31" s="21">
        <f t="shared" si="0"/>
        <v>115</v>
      </c>
      <c r="U31" s="21">
        <f t="shared" si="1"/>
        <v>365</v>
      </c>
      <c r="V31" s="144">
        <f t="shared" si="2"/>
        <v>250</v>
      </c>
      <c r="W31" s="140">
        <f t="shared" si="3"/>
        <v>0</v>
      </c>
      <c r="X31" s="141">
        <f t="shared" si="4"/>
        <v>0</v>
      </c>
      <c r="Y31" s="141">
        <v>0</v>
      </c>
    </row>
    <row r="32" spans="1:25" ht="15" x14ac:dyDescent="0.25">
      <c r="A32" s="138" t="s">
        <v>466</v>
      </c>
      <c r="B32" s="142" t="s">
        <v>54</v>
      </c>
      <c r="C32" s="148" t="s">
        <v>219</v>
      </c>
      <c r="D32" s="139" t="str">
        <f>VLOOKUP(C32,'Seznam HS - nemaš'!$A$1:$B$96,2,FALSE)</f>
        <v>452500</v>
      </c>
      <c r="E32" s="277" t="s">
        <v>497</v>
      </c>
      <c r="F32" s="244" t="s">
        <v>329</v>
      </c>
      <c r="G32" s="154" t="s">
        <v>499</v>
      </c>
      <c r="H32" s="28">
        <f>+IF(ISBLANK(I32),0,VLOOKUP(I32,'8Příloha_2_ceník_pravid_úklid'!$B$9:$C$30,2,0))</f>
        <v>4</v>
      </c>
      <c r="I32" s="143" t="s">
        <v>9</v>
      </c>
      <c r="J32" s="145">
        <f>2.67*1.96</f>
        <v>5.2332000000000001</v>
      </c>
      <c r="K32" s="22" t="s">
        <v>50</v>
      </c>
      <c r="L32" s="156" t="s">
        <v>21</v>
      </c>
      <c r="M32" s="22" t="s">
        <v>49</v>
      </c>
      <c r="N32" s="19">
        <f>IF((VLOOKUP(I32,'8Příloha_2_ceník_pravid_úklid'!$B$9:$I$30,8,0))=0,VLOOKUP(I32,'8Příloha_2_ceník_pravid_úklid'!$B$9:$K$30,10,0),VLOOKUP(I32,'8Příloha_2_ceník_pravid_úklid'!$B$9:$I$30,8,0))</f>
        <v>0</v>
      </c>
      <c r="O32" s="20">
        <v>1</v>
      </c>
      <c r="P32" s="20">
        <v>1</v>
      </c>
      <c r="Q32" s="20">
        <v>0</v>
      </c>
      <c r="R32" s="20">
        <v>0</v>
      </c>
      <c r="S32" s="21">
        <f>NETWORKDAYS.INTL(DATE(2018,1,1),DATE(2018,12,31),1,{"2018/1/1";"2018/3/30";"2018/4/2";"2018/5/1";"2018/5/8";"2018/7/5";"2018/7/6";"2018/09/28";"2018/11/17";"2018/12/24";"2018/12/25";"2018/12/26"})</f>
        <v>250</v>
      </c>
      <c r="T32" s="21">
        <f t="shared" si="0"/>
        <v>115</v>
      </c>
      <c r="U32" s="21">
        <f t="shared" si="1"/>
        <v>365</v>
      </c>
      <c r="V32" s="144">
        <f t="shared" si="2"/>
        <v>250</v>
      </c>
      <c r="W32" s="140">
        <f t="shared" si="3"/>
        <v>0</v>
      </c>
      <c r="X32" s="141">
        <f t="shared" si="4"/>
        <v>0</v>
      </c>
      <c r="Y32" s="141">
        <v>0</v>
      </c>
    </row>
    <row r="33" spans="1:25" ht="15" x14ac:dyDescent="0.25">
      <c r="A33" s="138" t="s">
        <v>466</v>
      </c>
      <c r="B33" s="142" t="s">
        <v>54</v>
      </c>
      <c r="C33" s="148" t="s">
        <v>219</v>
      </c>
      <c r="D33" s="139" t="str">
        <f>VLOOKUP(C33,'Seznam HS - nemaš'!$A$1:$B$96,2,FALSE)</f>
        <v>452500</v>
      </c>
      <c r="E33" s="277" t="s">
        <v>496</v>
      </c>
      <c r="F33" s="244" t="s">
        <v>420</v>
      </c>
      <c r="G33" s="154"/>
      <c r="H33" s="28">
        <f>+IF(ISBLANK(I33),0,VLOOKUP(I33,'8Příloha_2_ceník_pravid_úklid'!$B$9:$C$30,2,0))</f>
        <v>6</v>
      </c>
      <c r="I33" s="143" t="s">
        <v>1</v>
      </c>
      <c r="J33" s="145">
        <f>1.96*1.84</f>
        <v>3.6064000000000003</v>
      </c>
      <c r="K33" s="22" t="s">
        <v>51</v>
      </c>
      <c r="L33" s="198" t="s">
        <v>65</v>
      </c>
      <c r="M33" s="22" t="s">
        <v>49</v>
      </c>
      <c r="N33" s="19">
        <f>IF((VLOOKUP(I33,'8Příloha_2_ceník_pravid_úklid'!$B$9:$I$30,8,0))=0,VLOOKUP(I33,'8Příloha_2_ceník_pravid_úklid'!$B$9:$K$30,10,0),VLOOKUP(I33,'8Příloha_2_ceník_pravid_úklid'!$B$9:$I$30,8,0))</f>
        <v>0</v>
      </c>
      <c r="O33" s="20">
        <v>2</v>
      </c>
      <c r="P33" s="20">
        <v>1</v>
      </c>
      <c r="Q33" s="20">
        <v>0</v>
      </c>
      <c r="R33" s="20">
        <v>0</v>
      </c>
      <c r="S33" s="21">
        <f>NETWORKDAYS.INTL(DATE(2018,1,1),DATE(2018,12,31),1,{"2018/1/1";"2018/3/30";"2018/4/2";"2018/5/1";"2018/5/8";"2018/7/5";"2018/7/6";"2018/09/28";"2018/11/17";"2018/12/24";"2018/12/25";"2018/12/26"})</f>
        <v>250</v>
      </c>
      <c r="T33" s="21">
        <f t="shared" si="0"/>
        <v>115</v>
      </c>
      <c r="U33" s="21">
        <f t="shared" si="1"/>
        <v>365</v>
      </c>
      <c r="V33" s="144">
        <f t="shared" si="2"/>
        <v>500</v>
      </c>
      <c r="W33" s="140">
        <f t="shared" si="3"/>
        <v>0</v>
      </c>
      <c r="X33" s="141">
        <f t="shared" si="4"/>
        <v>0</v>
      </c>
      <c r="Y33" s="141">
        <v>0</v>
      </c>
    </row>
    <row r="34" spans="1:25" ht="15" x14ac:dyDescent="0.25">
      <c r="A34" s="251" t="s">
        <v>466</v>
      </c>
      <c r="B34" s="252" t="s">
        <v>54</v>
      </c>
      <c r="C34" s="252" t="s">
        <v>219</v>
      </c>
      <c r="D34" s="542" t="str">
        <f>VLOOKUP(C34,'Seznam HS - nemaš'!$A$1:$B$96,2,FALSE)</f>
        <v>452500</v>
      </c>
      <c r="E34" s="295" t="s">
        <v>421</v>
      </c>
      <c r="F34" s="254" t="s">
        <v>389</v>
      </c>
      <c r="G34" s="254" t="s">
        <v>500</v>
      </c>
      <c r="H34" s="296">
        <f>+IF(ISBLANK(I34),0,VLOOKUP(I34,'8Příloha_2_ceník_pravid_úklid'!$B$9:$C$30,2,0))</f>
        <v>6</v>
      </c>
      <c r="I34" s="256" t="s">
        <v>1</v>
      </c>
      <c r="J34" s="257">
        <f>1.25*1.85</f>
        <v>2.3125</v>
      </c>
      <c r="K34" s="253" t="s">
        <v>50</v>
      </c>
      <c r="L34" s="297"/>
      <c r="M34" s="253" t="s">
        <v>49</v>
      </c>
      <c r="N34" s="260" t="s">
        <v>501</v>
      </c>
      <c r="O34" s="261">
        <v>2</v>
      </c>
      <c r="P34" s="261">
        <v>1</v>
      </c>
      <c r="Q34" s="261">
        <v>0</v>
      </c>
      <c r="R34" s="261">
        <v>0</v>
      </c>
      <c r="S34" s="262">
        <f>NETWORKDAYS.INTL(DATE(2018,1,1),DATE(2018,12,31),1,{"2018/1/1";"2018/3/30";"2018/4/2";"2018/5/1";"2018/5/8";"2018/7/5";"2018/7/6";"2018/09/28";"2018/11/17";"2018/12/24";"2018/12/25";"2018/12/26"})</f>
        <v>250</v>
      </c>
      <c r="T34" s="262">
        <f t="shared" si="0"/>
        <v>115</v>
      </c>
      <c r="U34" s="262">
        <f t="shared" si="1"/>
        <v>365</v>
      </c>
      <c r="V34" s="263">
        <f t="shared" si="2"/>
        <v>500</v>
      </c>
      <c r="W34" s="264">
        <f t="shared" si="3"/>
        <v>0</v>
      </c>
      <c r="X34" s="265">
        <f t="shared" si="4"/>
        <v>0</v>
      </c>
      <c r="Y34" s="265">
        <f t="shared" si="4"/>
        <v>0</v>
      </c>
    </row>
    <row r="35" spans="1:25" ht="15" x14ac:dyDescent="0.25">
      <c r="A35" s="171" t="s">
        <v>466</v>
      </c>
      <c r="B35" s="148" t="s">
        <v>328</v>
      </c>
      <c r="C35" s="148" t="s">
        <v>219</v>
      </c>
      <c r="D35" s="139" t="str">
        <f>VLOOKUP(C35,'Seznam HS - nemaš'!$A$1:$B$96,2,FALSE)</f>
        <v>452500</v>
      </c>
      <c r="E35" s="298" t="s">
        <v>344</v>
      </c>
      <c r="F35" s="283" t="s">
        <v>53</v>
      </c>
      <c r="G35" s="299" t="s">
        <v>336</v>
      </c>
      <c r="H35" s="28">
        <f>+IF(ISBLANK(I35),0,VLOOKUP(I35,'8Příloha_2_ceník_pravid_úklid'!$B$9:$C$30,2,0))</f>
        <v>6</v>
      </c>
      <c r="I35" s="149" t="s">
        <v>1</v>
      </c>
      <c r="J35" s="300">
        <f>2.5*3.77</f>
        <v>9.4250000000000007</v>
      </c>
      <c r="K35" s="29" t="s">
        <v>51</v>
      </c>
      <c r="L35" s="292" t="s">
        <v>65</v>
      </c>
      <c r="M35" s="29" t="s">
        <v>49</v>
      </c>
      <c r="N35" s="19">
        <f>IF((VLOOKUP(I35,'8Příloha_2_ceník_pravid_úklid'!$B$9:$I$30,8,0))=0,VLOOKUP(I35,'8Příloha_2_ceník_pravid_úklid'!$B$9:$K$30,10,0),VLOOKUP(I35,'8Příloha_2_ceník_pravid_úklid'!$B$9:$I$30,8,0))</f>
        <v>0</v>
      </c>
      <c r="O35" s="25">
        <v>2</v>
      </c>
      <c r="P35" s="25">
        <v>1</v>
      </c>
      <c r="Q35" s="25">
        <v>0</v>
      </c>
      <c r="R35" s="25">
        <v>0</v>
      </c>
      <c r="S35" s="26">
        <f>NETWORKDAYS.INTL(DATE(2018,1,1),DATE(2018,12,31),1,{"2018/1/1";"2018/3/30";"2018/4/2";"2018/5/1";"2018/5/8";"2018/7/5";"2018/7/6";"2018/09/28";"2018/11/17";"2018/12/24";"2018/12/25";"2018/12/26"})</f>
        <v>250</v>
      </c>
      <c r="T35" s="26">
        <f t="shared" si="0"/>
        <v>115</v>
      </c>
      <c r="U35" s="26">
        <f t="shared" si="1"/>
        <v>365</v>
      </c>
      <c r="V35" s="153">
        <f t="shared" si="2"/>
        <v>500</v>
      </c>
      <c r="W35" s="173">
        <f t="shared" si="3"/>
        <v>0</v>
      </c>
      <c r="X35" s="174">
        <f t="shared" si="4"/>
        <v>0</v>
      </c>
      <c r="Y35" s="141">
        <v>0</v>
      </c>
    </row>
    <row r="36" spans="1:25" ht="15" x14ac:dyDescent="0.25">
      <c r="A36" s="171" t="s">
        <v>466</v>
      </c>
      <c r="B36" s="148" t="s">
        <v>328</v>
      </c>
      <c r="C36" s="148" t="s">
        <v>219</v>
      </c>
      <c r="D36" s="139" t="str">
        <f>VLOOKUP(C36,'Seznam HS - nemaš'!$A$1:$B$96,2,FALSE)</f>
        <v>452500</v>
      </c>
      <c r="E36" s="277" t="s">
        <v>345</v>
      </c>
      <c r="F36" s="283" t="s">
        <v>53</v>
      </c>
      <c r="G36" s="150"/>
      <c r="H36" s="28">
        <f>+IF(ISBLANK(I36),0,VLOOKUP(I36,'8Příloha_2_ceník_pravid_úklid'!$B$9:$C$30,2,0))</f>
        <v>6</v>
      </c>
      <c r="I36" s="149" t="s">
        <v>1</v>
      </c>
      <c r="J36" s="172">
        <f>+(19.81-6.32)*1.84+6.32*3.45-0.78*2.22+6.3*1.77</f>
        <v>56.045000000000002</v>
      </c>
      <c r="K36" s="29" t="s">
        <v>51</v>
      </c>
      <c r="L36" s="292" t="s">
        <v>65</v>
      </c>
      <c r="M36" s="29" t="s">
        <v>49</v>
      </c>
      <c r="N36" s="19">
        <f>IF((VLOOKUP(I36,'8Příloha_2_ceník_pravid_úklid'!$B$9:$I$30,8,0))=0,VLOOKUP(I36,'8Příloha_2_ceník_pravid_úklid'!$B$9:$K$30,10,0),VLOOKUP(I36,'8Příloha_2_ceník_pravid_úklid'!$B$9:$I$30,8,0))</f>
        <v>0</v>
      </c>
      <c r="O36" s="25">
        <v>2</v>
      </c>
      <c r="P36" s="25">
        <v>1</v>
      </c>
      <c r="Q36" s="25">
        <v>0</v>
      </c>
      <c r="R36" s="25">
        <v>0</v>
      </c>
      <c r="S36" s="26">
        <f>NETWORKDAYS.INTL(DATE(2018,1,1),DATE(2018,12,31),1,{"2018/1/1";"2018/3/30";"2018/4/2";"2018/5/1";"2018/5/8";"2018/7/5";"2018/7/6";"2018/09/28";"2018/11/17";"2018/12/24";"2018/12/25";"2018/12/26"})</f>
        <v>250</v>
      </c>
      <c r="T36" s="26">
        <f t="shared" si="0"/>
        <v>115</v>
      </c>
      <c r="U36" s="26">
        <f t="shared" si="1"/>
        <v>365</v>
      </c>
      <c r="V36" s="153">
        <f t="shared" si="2"/>
        <v>500</v>
      </c>
      <c r="W36" s="173">
        <f t="shared" si="3"/>
        <v>0</v>
      </c>
      <c r="X36" s="174">
        <f t="shared" si="4"/>
        <v>0</v>
      </c>
      <c r="Y36" s="141">
        <v>0</v>
      </c>
    </row>
    <row r="37" spans="1:25" ht="15" x14ac:dyDescent="0.25">
      <c r="A37" s="138" t="s">
        <v>466</v>
      </c>
      <c r="B37" s="142" t="s">
        <v>328</v>
      </c>
      <c r="C37" s="148" t="s">
        <v>219</v>
      </c>
      <c r="D37" s="139" t="str">
        <f>VLOOKUP(C37,'Seznam HS - nemaš'!$A$1:$B$96,2,FALSE)</f>
        <v>452500</v>
      </c>
      <c r="E37" s="277" t="s">
        <v>347</v>
      </c>
      <c r="F37" s="244" t="s">
        <v>437</v>
      </c>
      <c r="G37" s="154" t="s">
        <v>420</v>
      </c>
      <c r="H37" s="28">
        <f>+IF(ISBLANK(I37),0,VLOOKUP(I37,'8Příloha_2_ceník_pravid_úklid'!$B$9:$C$30,2,0))</f>
        <v>7</v>
      </c>
      <c r="I37" s="143" t="s">
        <v>14</v>
      </c>
      <c r="J37" s="145">
        <v>2.5</v>
      </c>
      <c r="K37" s="22" t="s">
        <v>50</v>
      </c>
      <c r="L37" s="156" t="s">
        <v>21</v>
      </c>
      <c r="M37" s="22" t="s">
        <v>49</v>
      </c>
      <c r="N37" s="19">
        <f>IF((VLOOKUP(I37,'8Příloha_2_ceník_pravid_úklid'!$B$9:$I$30,8,0))=0,VLOOKUP(I37,'8Příloha_2_ceník_pravid_úklid'!$B$9:$K$30,10,0),VLOOKUP(I37,'8Příloha_2_ceník_pravid_úklid'!$B$9:$I$30,8,0))</f>
        <v>0</v>
      </c>
      <c r="O37" s="20">
        <v>1</v>
      </c>
      <c r="P37" s="20">
        <v>1</v>
      </c>
      <c r="Q37" s="20">
        <v>0</v>
      </c>
      <c r="R37" s="20">
        <v>0</v>
      </c>
      <c r="S37" s="21">
        <f>NETWORKDAYS.INTL(DATE(2018,1,1),DATE(2018,12,31),1,{"2018/1/1";"2018/3/30";"2018/4/2";"2018/5/1";"2018/5/8";"2018/7/5";"2018/7/6";"2018/09/28";"2018/11/17";"2018/12/24";"2018/12/25";"2018/12/26"})</f>
        <v>250</v>
      </c>
      <c r="T37" s="21">
        <f t="shared" si="0"/>
        <v>115</v>
      </c>
      <c r="U37" s="21">
        <f t="shared" si="1"/>
        <v>365</v>
      </c>
      <c r="V37" s="144">
        <f t="shared" si="2"/>
        <v>250</v>
      </c>
      <c r="W37" s="140">
        <f t="shared" si="3"/>
        <v>0</v>
      </c>
      <c r="X37" s="141">
        <f t="shared" si="4"/>
        <v>0</v>
      </c>
      <c r="Y37" s="141">
        <v>0</v>
      </c>
    </row>
    <row r="38" spans="1:25" ht="15" x14ac:dyDescent="0.25">
      <c r="A38" s="138" t="s">
        <v>466</v>
      </c>
      <c r="B38" s="142" t="s">
        <v>328</v>
      </c>
      <c r="C38" s="148" t="s">
        <v>219</v>
      </c>
      <c r="D38" s="139" t="str">
        <f>VLOOKUP(C38,'Seznam HS - nemaš'!$A$1:$B$96,2,FALSE)</f>
        <v>452500</v>
      </c>
      <c r="E38" s="277" t="s">
        <v>349</v>
      </c>
      <c r="F38" s="244" t="s">
        <v>437</v>
      </c>
      <c r="G38" s="154"/>
      <c r="H38" s="28">
        <f>+IF(ISBLANK(I38),0,VLOOKUP(I38,'8Příloha_2_ceník_pravid_úklid'!$B$9:$C$30,2,0))</f>
        <v>7</v>
      </c>
      <c r="I38" s="143" t="s">
        <v>14</v>
      </c>
      <c r="J38" s="145">
        <v>1</v>
      </c>
      <c r="K38" s="22" t="s">
        <v>50</v>
      </c>
      <c r="L38" s="156" t="s">
        <v>21</v>
      </c>
      <c r="M38" s="22" t="s">
        <v>49</v>
      </c>
      <c r="N38" s="19">
        <f>IF((VLOOKUP(I38,'8Příloha_2_ceník_pravid_úklid'!$B$9:$I$30,8,0))=0,VLOOKUP(I38,'8Příloha_2_ceník_pravid_úklid'!$B$9:$K$30,10,0),VLOOKUP(I38,'8Příloha_2_ceník_pravid_úklid'!$B$9:$I$30,8,0))</f>
        <v>0</v>
      </c>
      <c r="O38" s="20">
        <v>1</v>
      </c>
      <c r="P38" s="20">
        <v>1</v>
      </c>
      <c r="Q38" s="20">
        <v>0</v>
      </c>
      <c r="R38" s="20">
        <v>0</v>
      </c>
      <c r="S38" s="21">
        <f>NETWORKDAYS.INTL(DATE(2018,1,1),DATE(2018,12,31),1,{"2018/1/1";"2018/3/30";"2018/4/2";"2018/5/1";"2018/5/8";"2018/7/5";"2018/7/6";"2018/09/28";"2018/11/17";"2018/12/24";"2018/12/25";"2018/12/26"})</f>
        <v>250</v>
      </c>
      <c r="T38" s="21">
        <f t="shared" si="0"/>
        <v>115</v>
      </c>
      <c r="U38" s="21">
        <f t="shared" si="1"/>
        <v>365</v>
      </c>
      <c r="V38" s="144">
        <f t="shared" si="2"/>
        <v>250</v>
      </c>
      <c r="W38" s="140">
        <f t="shared" si="3"/>
        <v>0</v>
      </c>
      <c r="X38" s="141">
        <f t="shared" si="4"/>
        <v>0</v>
      </c>
      <c r="Y38" s="141">
        <v>0</v>
      </c>
    </row>
    <row r="39" spans="1:25" ht="15" x14ac:dyDescent="0.25">
      <c r="A39" s="138" t="s">
        <v>466</v>
      </c>
      <c r="B39" s="142" t="s">
        <v>328</v>
      </c>
      <c r="C39" s="148" t="s">
        <v>219</v>
      </c>
      <c r="D39" s="139" t="str">
        <f>VLOOKUP(C39,'Seznam HS - nemaš'!$A$1:$B$96,2,FALSE)</f>
        <v>452500</v>
      </c>
      <c r="E39" s="277" t="s">
        <v>352</v>
      </c>
      <c r="F39" s="244" t="s">
        <v>437</v>
      </c>
      <c r="G39" s="154" t="s">
        <v>420</v>
      </c>
      <c r="H39" s="28">
        <f>+IF(ISBLANK(I39),0,VLOOKUP(I39,'8Příloha_2_ceník_pravid_úklid'!$B$9:$C$30,2,0))</f>
        <v>7</v>
      </c>
      <c r="I39" s="143" t="s">
        <v>14</v>
      </c>
      <c r="J39" s="145">
        <v>2.5</v>
      </c>
      <c r="K39" s="22" t="s">
        <v>50</v>
      </c>
      <c r="L39" s="156" t="s">
        <v>21</v>
      </c>
      <c r="M39" s="22" t="s">
        <v>49</v>
      </c>
      <c r="N39" s="19">
        <f>IF((VLOOKUP(I39,'8Příloha_2_ceník_pravid_úklid'!$B$9:$I$30,8,0))=0,VLOOKUP(I39,'8Příloha_2_ceník_pravid_úklid'!$B$9:$K$30,10,0),VLOOKUP(I39,'8Příloha_2_ceník_pravid_úklid'!$B$9:$I$30,8,0))</f>
        <v>0</v>
      </c>
      <c r="O39" s="20">
        <v>1</v>
      </c>
      <c r="P39" s="20">
        <v>1</v>
      </c>
      <c r="Q39" s="20">
        <v>0</v>
      </c>
      <c r="R39" s="20">
        <v>0</v>
      </c>
      <c r="S39" s="21">
        <f>NETWORKDAYS.INTL(DATE(2018,1,1),DATE(2018,12,31),1,{"2018/1/1";"2018/3/30";"2018/4/2";"2018/5/1";"2018/5/8";"2018/7/5";"2018/7/6";"2018/09/28";"2018/11/17";"2018/12/24";"2018/12/25";"2018/12/26"})</f>
        <v>250</v>
      </c>
      <c r="T39" s="21">
        <f t="shared" si="0"/>
        <v>115</v>
      </c>
      <c r="U39" s="21">
        <f t="shared" si="1"/>
        <v>365</v>
      </c>
      <c r="V39" s="144">
        <f t="shared" si="2"/>
        <v>250</v>
      </c>
      <c r="W39" s="140">
        <f t="shared" si="3"/>
        <v>0</v>
      </c>
      <c r="X39" s="141">
        <f t="shared" si="4"/>
        <v>0</v>
      </c>
      <c r="Y39" s="141">
        <v>0</v>
      </c>
    </row>
    <row r="40" spans="1:25" ht="15" x14ac:dyDescent="0.25">
      <c r="A40" s="138" t="s">
        <v>466</v>
      </c>
      <c r="B40" s="142" t="s">
        <v>328</v>
      </c>
      <c r="C40" s="148" t="s">
        <v>219</v>
      </c>
      <c r="D40" s="139" t="str">
        <f>VLOOKUP(C40,'Seznam HS - nemaš'!$A$1:$B$96,2,FALSE)</f>
        <v>452500</v>
      </c>
      <c r="E40" s="277" t="s">
        <v>354</v>
      </c>
      <c r="F40" s="301" t="s">
        <v>437</v>
      </c>
      <c r="G40" s="30"/>
      <c r="H40" s="28">
        <f>+IF(ISBLANK(I40),0,VLOOKUP(I40,'8Příloha_2_ceník_pravid_úklid'!$B$9:$C$30,2,0))</f>
        <v>7</v>
      </c>
      <c r="I40" s="143" t="s">
        <v>14</v>
      </c>
      <c r="J40" s="145">
        <v>1</v>
      </c>
      <c r="K40" s="22" t="s">
        <v>51</v>
      </c>
      <c r="L40" s="156" t="s">
        <v>21</v>
      </c>
      <c r="M40" s="22" t="s">
        <v>49</v>
      </c>
      <c r="N40" s="19">
        <f>IF((VLOOKUP(I40,'8Příloha_2_ceník_pravid_úklid'!$B$9:$I$30,8,0))=0,VLOOKUP(I40,'8Příloha_2_ceník_pravid_úklid'!$B$9:$K$30,10,0),VLOOKUP(I40,'8Příloha_2_ceník_pravid_úklid'!$B$9:$I$30,8,0))</f>
        <v>0</v>
      </c>
      <c r="O40" s="20">
        <v>1</v>
      </c>
      <c r="P40" s="20">
        <v>1</v>
      </c>
      <c r="Q40" s="20">
        <v>0</v>
      </c>
      <c r="R40" s="20">
        <v>0</v>
      </c>
      <c r="S40" s="21">
        <f>NETWORKDAYS.INTL(DATE(2018,1,1),DATE(2018,12,31),1,{"2018/1/1";"2018/3/30";"2018/4/2";"2018/5/1";"2018/5/8";"2018/7/5";"2018/7/6";"2018/09/28";"2018/11/17";"2018/12/24";"2018/12/25";"2018/12/26"})</f>
        <v>250</v>
      </c>
      <c r="T40" s="21">
        <f t="shared" si="0"/>
        <v>115</v>
      </c>
      <c r="U40" s="21">
        <f t="shared" si="1"/>
        <v>365</v>
      </c>
      <c r="V40" s="144">
        <f t="shared" si="2"/>
        <v>250</v>
      </c>
      <c r="W40" s="140">
        <f t="shared" si="3"/>
        <v>0</v>
      </c>
      <c r="X40" s="141">
        <f t="shared" si="4"/>
        <v>0</v>
      </c>
      <c r="Y40" s="141">
        <v>0</v>
      </c>
    </row>
    <row r="41" spans="1:25" ht="15" x14ac:dyDescent="0.25">
      <c r="A41" s="138" t="s">
        <v>466</v>
      </c>
      <c r="B41" s="142" t="s">
        <v>328</v>
      </c>
      <c r="C41" s="148" t="s">
        <v>219</v>
      </c>
      <c r="D41" s="139" t="str">
        <f>VLOOKUP(C41,'Seznam HS - nemaš'!$A$1:$B$96,2,FALSE)</f>
        <v>452500</v>
      </c>
      <c r="E41" s="277" t="s">
        <v>356</v>
      </c>
      <c r="F41" s="244" t="s">
        <v>472</v>
      </c>
      <c r="G41" s="154" t="s">
        <v>503</v>
      </c>
      <c r="H41" s="28">
        <f>+IF(ISBLANK(I41),0,VLOOKUP(I41,'8Příloha_2_ceník_pravid_úklid'!$B$9:$C$30,2,0))</f>
        <v>3</v>
      </c>
      <c r="I41" s="143" t="s">
        <v>3</v>
      </c>
      <c r="J41" s="145">
        <f>3.36*2.52</f>
        <v>8.4672000000000001</v>
      </c>
      <c r="K41" s="22" t="s">
        <v>51</v>
      </c>
      <c r="L41" s="198" t="s">
        <v>65</v>
      </c>
      <c r="M41" s="22" t="s">
        <v>49</v>
      </c>
      <c r="N41" s="19">
        <f>IF((VLOOKUP(I41,'8Příloha_2_ceník_pravid_úklid'!$B$9:$I$30,8,0))=0,VLOOKUP(I41,'8Příloha_2_ceník_pravid_úklid'!$B$9:$K$30,10,0),VLOOKUP(I41,'8Příloha_2_ceník_pravid_úklid'!$B$9:$I$30,8,0))</f>
        <v>0</v>
      </c>
      <c r="O41" s="20">
        <v>2</v>
      </c>
      <c r="P41" s="20">
        <v>1</v>
      </c>
      <c r="Q41" s="20">
        <v>0</v>
      </c>
      <c r="R41" s="20">
        <v>0</v>
      </c>
      <c r="S41" s="21">
        <f>NETWORKDAYS.INTL(DATE(2018,1,1),DATE(2018,12,31),1,{"2018/1/1";"2018/3/30";"2018/4/2";"2018/5/1";"2018/5/8";"2018/7/5";"2018/7/6";"2018/09/28";"2018/11/17";"2018/12/24";"2018/12/25";"2018/12/26"})</f>
        <v>250</v>
      </c>
      <c r="T41" s="21">
        <f t="shared" si="0"/>
        <v>115</v>
      </c>
      <c r="U41" s="21">
        <f t="shared" si="1"/>
        <v>365</v>
      </c>
      <c r="V41" s="144">
        <f t="shared" si="2"/>
        <v>500</v>
      </c>
      <c r="W41" s="140">
        <f t="shared" si="3"/>
        <v>0</v>
      </c>
      <c r="X41" s="141">
        <f t="shared" si="4"/>
        <v>0</v>
      </c>
      <c r="Y41" s="141">
        <v>0</v>
      </c>
    </row>
    <row r="42" spans="1:25" ht="15" x14ac:dyDescent="0.25">
      <c r="A42" s="171" t="s">
        <v>466</v>
      </c>
      <c r="B42" s="148" t="s">
        <v>328</v>
      </c>
      <c r="C42" s="148" t="s">
        <v>219</v>
      </c>
      <c r="D42" s="139" t="str">
        <f>VLOOKUP(C42,'Seznam HS - nemaš'!$A$1:$B$96,2,FALSE)</f>
        <v>452500</v>
      </c>
      <c r="E42" s="298" t="s">
        <v>358</v>
      </c>
      <c r="F42" s="283" t="s">
        <v>472</v>
      </c>
      <c r="G42" s="150" t="s">
        <v>504</v>
      </c>
      <c r="H42" s="28">
        <f>+IF(ISBLANK(I42),0,VLOOKUP(I42,'8Příloha_2_ceník_pravid_úklid'!$B$9:$C$30,2,0))</f>
        <v>3</v>
      </c>
      <c r="I42" s="149" t="s">
        <v>3</v>
      </c>
      <c r="J42" s="172">
        <f>5.14*3.36</f>
        <v>17.270399999999999</v>
      </c>
      <c r="K42" s="29" t="s">
        <v>51</v>
      </c>
      <c r="L42" s="292" t="s">
        <v>65</v>
      </c>
      <c r="M42" s="29" t="s">
        <v>49</v>
      </c>
      <c r="N42" s="19">
        <f>IF((VLOOKUP(I42,'8Příloha_2_ceník_pravid_úklid'!$B$9:$I$30,8,0))=0,VLOOKUP(I42,'8Příloha_2_ceník_pravid_úklid'!$B$9:$K$30,10,0),VLOOKUP(I42,'8Příloha_2_ceník_pravid_úklid'!$B$9:$I$30,8,0))</f>
        <v>0</v>
      </c>
      <c r="O42" s="25">
        <v>2</v>
      </c>
      <c r="P42" s="25">
        <v>1</v>
      </c>
      <c r="Q42" s="25">
        <v>0</v>
      </c>
      <c r="R42" s="25">
        <v>0</v>
      </c>
      <c r="S42" s="26">
        <f>NETWORKDAYS.INTL(DATE(2018,1,1),DATE(2018,12,31),1,{"2018/1/1";"2018/3/30";"2018/4/2";"2018/5/1";"2018/5/8";"2018/7/5";"2018/7/6";"2018/09/28";"2018/11/17";"2018/12/24";"2018/12/25";"2018/12/26"})</f>
        <v>250</v>
      </c>
      <c r="T42" s="26">
        <f t="shared" si="0"/>
        <v>115</v>
      </c>
      <c r="U42" s="26">
        <f t="shared" si="1"/>
        <v>365</v>
      </c>
      <c r="V42" s="153">
        <f t="shared" si="2"/>
        <v>500</v>
      </c>
      <c r="W42" s="173">
        <f t="shared" si="3"/>
        <v>0</v>
      </c>
      <c r="X42" s="174">
        <f t="shared" si="4"/>
        <v>0</v>
      </c>
      <c r="Y42" s="141">
        <v>0</v>
      </c>
    </row>
    <row r="43" spans="1:25" ht="15" x14ac:dyDescent="0.25">
      <c r="A43" s="138" t="s">
        <v>466</v>
      </c>
      <c r="B43" s="142" t="s">
        <v>328</v>
      </c>
      <c r="C43" s="148" t="s">
        <v>219</v>
      </c>
      <c r="D43" s="139" t="str">
        <f>VLOOKUP(C43,'Seznam HS - nemaš'!$A$1:$B$96,2,FALSE)</f>
        <v>452500</v>
      </c>
      <c r="E43" s="277" t="s">
        <v>360</v>
      </c>
      <c r="F43" s="244" t="s">
        <v>505</v>
      </c>
      <c r="G43" s="154" t="s">
        <v>506</v>
      </c>
      <c r="H43" s="28">
        <f>+IF(ISBLANK(I43),0,VLOOKUP(I43,'8Příloha_2_ceník_pravid_úklid'!$B$9:$C$30,2,0))</f>
        <v>17</v>
      </c>
      <c r="I43" s="143" t="s">
        <v>13</v>
      </c>
      <c r="J43" s="145">
        <v>0.5</v>
      </c>
      <c r="K43" s="22" t="s">
        <v>51</v>
      </c>
      <c r="L43" s="198" t="s">
        <v>487</v>
      </c>
      <c r="M43" s="22" t="s">
        <v>49</v>
      </c>
      <c r="N43" s="19">
        <f>IF((VLOOKUP(I43,'8Příloha_2_ceník_pravid_úklid'!$B$9:$I$30,8,0))=0,VLOOKUP(I43,'8Příloha_2_ceník_pravid_úklid'!$B$9:$K$30,10,0),VLOOKUP(I43,'8Příloha_2_ceník_pravid_úklid'!$B$9:$I$30,8,0))</f>
        <v>0</v>
      </c>
      <c r="O43" s="20">
        <v>1</v>
      </c>
      <c r="P43" s="20">
        <f>1/5</f>
        <v>0.2</v>
      </c>
      <c r="Q43" s="20">
        <v>0</v>
      </c>
      <c r="R43" s="20">
        <v>0</v>
      </c>
      <c r="S43" s="21">
        <f>NETWORKDAYS.INTL(DATE(2018,1,1),DATE(2018,12,31),1,{"2018/1/1";"2018/3/30";"2018/4/2";"2018/5/1";"2018/5/8";"2018/7/5";"2018/7/6";"2018/09/28";"2018/11/17";"2018/12/24";"2018/12/25";"2018/12/26"})</f>
        <v>250</v>
      </c>
      <c r="T43" s="21">
        <f t="shared" si="0"/>
        <v>115</v>
      </c>
      <c r="U43" s="21">
        <f t="shared" si="1"/>
        <v>365</v>
      </c>
      <c r="V43" s="144">
        <f t="shared" si="2"/>
        <v>50</v>
      </c>
      <c r="W43" s="140">
        <f t="shared" si="3"/>
        <v>0</v>
      </c>
      <c r="X43" s="141">
        <f t="shared" si="4"/>
        <v>0</v>
      </c>
      <c r="Y43" s="141">
        <v>0</v>
      </c>
    </row>
    <row r="44" spans="1:25" ht="15" x14ac:dyDescent="0.25">
      <c r="A44" s="235" t="s">
        <v>466</v>
      </c>
      <c r="B44" s="236" t="s">
        <v>328</v>
      </c>
      <c r="C44" s="222" t="s">
        <v>219</v>
      </c>
      <c r="D44" s="535" t="str">
        <f>VLOOKUP(C44,'Seznam HS - nemaš'!$A$1:$B$96,2,FALSE)</f>
        <v>452500</v>
      </c>
      <c r="E44" s="302" t="s">
        <v>362</v>
      </c>
      <c r="F44" s="303" t="s">
        <v>507</v>
      </c>
      <c r="G44" s="303"/>
      <c r="H44" s="224">
        <f>+IF(ISBLANK(I44),0,VLOOKUP(I44,'8Příloha_2_ceník_pravid_úklid'!$B$9:$C$30,2,0))</f>
        <v>11</v>
      </c>
      <c r="I44" s="273" t="s">
        <v>7</v>
      </c>
      <c r="J44" s="241">
        <v>0.5</v>
      </c>
      <c r="K44" s="237"/>
      <c r="L44" s="242"/>
      <c r="M44" s="237"/>
      <c r="N44" s="229" t="s">
        <v>501</v>
      </c>
      <c r="O44" s="230">
        <v>1</v>
      </c>
      <c r="P44" s="230">
        <f>1/5</f>
        <v>0.2</v>
      </c>
      <c r="Q44" s="230">
        <v>0</v>
      </c>
      <c r="R44" s="230">
        <v>0</v>
      </c>
      <c r="S44" s="231">
        <f>NETWORKDAYS.INTL(DATE(2018,1,1),DATE(2018,12,31),1,{"2018/1/1";"2018/3/30";"2018/4/2";"2018/5/1";"2018/5/8";"2018/7/5";"2018/7/6";"2018/09/28";"2018/11/17";"2018/12/24";"2018/12/25";"2018/12/26"})</f>
        <v>250</v>
      </c>
      <c r="T44" s="231">
        <f t="shared" si="0"/>
        <v>115</v>
      </c>
      <c r="U44" s="231">
        <f t="shared" si="1"/>
        <v>365</v>
      </c>
      <c r="V44" s="232">
        <f t="shared" si="2"/>
        <v>50</v>
      </c>
      <c r="W44" s="233">
        <f t="shared" si="3"/>
        <v>0</v>
      </c>
      <c r="X44" s="234">
        <f t="shared" si="4"/>
        <v>0</v>
      </c>
      <c r="Y44" s="234">
        <f t="shared" si="4"/>
        <v>0</v>
      </c>
    </row>
    <row r="45" spans="1:25" ht="15" x14ac:dyDescent="0.25">
      <c r="A45" s="138" t="s">
        <v>466</v>
      </c>
      <c r="B45" s="142" t="s">
        <v>328</v>
      </c>
      <c r="C45" s="148" t="s">
        <v>219</v>
      </c>
      <c r="D45" s="139" t="str">
        <f>VLOOKUP(C45,'Seznam HS - nemaš'!$A$1:$B$96,2,FALSE)</f>
        <v>452500</v>
      </c>
      <c r="E45" s="277" t="s">
        <v>364</v>
      </c>
      <c r="F45" s="244" t="s">
        <v>472</v>
      </c>
      <c r="G45" s="154" t="s">
        <v>508</v>
      </c>
      <c r="H45" s="28">
        <f>+IF(ISBLANK(I45),0,VLOOKUP(I45,'8Příloha_2_ceník_pravid_úklid'!$B$9:$C$30,2,0))</f>
        <v>3</v>
      </c>
      <c r="I45" s="143" t="s">
        <v>3</v>
      </c>
      <c r="J45" s="145">
        <f>5.5*5.48</f>
        <v>30.14</v>
      </c>
      <c r="K45" s="22" t="s">
        <v>51</v>
      </c>
      <c r="L45" s="198" t="s">
        <v>65</v>
      </c>
      <c r="M45" s="22" t="s">
        <v>49</v>
      </c>
      <c r="N45" s="19">
        <f>IF((VLOOKUP(I45,'8Příloha_2_ceník_pravid_úklid'!$B$9:$I$30,8,0))=0,VLOOKUP(I45,'8Příloha_2_ceník_pravid_úklid'!$B$9:$K$30,10,0),VLOOKUP(I45,'8Příloha_2_ceník_pravid_úklid'!$B$9:$I$30,8,0))</f>
        <v>0</v>
      </c>
      <c r="O45" s="20">
        <v>2</v>
      </c>
      <c r="P45" s="20">
        <v>1</v>
      </c>
      <c r="Q45" s="20">
        <v>0</v>
      </c>
      <c r="R45" s="20">
        <v>0</v>
      </c>
      <c r="S45" s="21">
        <f>NETWORKDAYS.INTL(DATE(2018,1,1),DATE(2018,12,31),1,{"2018/1/1";"2018/3/30";"2018/4/2";"2018/5/1";"2018/5/8";"2018/7/5";"2018/7/6";"2018/09/28";"2018/11/17";"2018/12/24";"2018/12/25";"2018/12/26"})</f>
        <v>250</v>
      </c>
      <c r="T45" s="21">
        <f t="shared" si="0"/>
        <v>115</v>
      </c>
      <c r="U45" s="21">
        <f t="shared" si="1"/>
        <v>365</v>
      </c>
      <c r="V45" s="144">
        <f t="shared" si="2"/>
        <v>500</v>
      </c>
      <c r="W45" s="140">
        <f t="shared" si="3"/>
        <v>0</v>
      </c>
      <c r="X45" s="141">
        <f t="shared" si="4"/>
        <v>0</v>
      </c>
      <c r="Y45" s="141">
        <v>0</v>
      </c>
    </row>
    <row r="46" spans="1:25" ht="15" x14ac:dyDescent="0.25">
      <c r="A46" s="138" t="s">
        <v>466</v>
      </c>
      <c r="B46" s="142" t="s">
        <v>328</v>
      </c>
      <c r="C46" s="148" t="s">
        <v>219</v>
      </c>
      <c r="D46" s="139" t="str">
        <f>VLOOKUP(C46,'Seznam HS - nemaš'!$A$1:$B$96,2,FALSE)</f>
        <v>452500</v>
      </c>
      <c r="E46" s="277" t="s">
        <v>366</v>
      </c>
      <c r="F46" s="244" t="s">
        <v>472</v>
      </c>
      <c r="G46" s="154" t="s">
        <v>509</v>
      </c>
      <c r="H46" s="28">
        <f>+IF(ISBLANK(I46),0,VLOOKUP(I46,'8Příloha_2_ceník_pravid_úklid'!$B$9:$C$30,2,0))</f>
        <v>3</v>
      </c>
      <c r="I46" s="143" t="s">
        <v>3</v>
      </c>
      <c r="J46" s="145">
        <f>2.32*5.5</f>
        <v>12.76</v>
      </c>
      <c r="K46" s="22" t="s">
        <v>51</v>
      </c>
      <c r="L46" s="198" t="s">
        <v>65</v>
      </c>
      <c r="M46" s="22" t="s">
        <v>49</v>
      </c>
      <c r="N46" s="19">
        <f>IF((VLOOKUP(I46,'8Příloha_2_ceník_pravid_úklid'!$B$9:$I$30,8,0))=0,VLOOKUP(I46,'8Příloha_2_ceník_pravid_úklid'!$B$9:$K$30,10,0),VLOOKUP(I46,'8Příloha_2_ceník_pravid_úklid'!$B$9:$I$30,8,0))</f>
        <v>0</v>
      </c>
      <c r="O46" s="20">
        <v>2</v>
      </c>
      <c r="P46" s="20">
        <v>1</v>
      </c>
      <c r="Q46" s="20">
        <v>0</v>
      </c>
      <c r="R46" s="20">
        <v>0</v>
      </c>
      <c r="S46" s="21">
        <f>NETWORKDAYS.INTL(DATE(2018,1,1),DATE(2018,12,31),1,{"2018/1/1";"2018/3/30";"2018/4/2";"2018/5/1";"2018/5/8";"2018/7/5";"2018/7/6";"2018/09/28";"2018/11/17";"2018/12/24";"2018/12/25";"2018/12/26"})</f>
        <v>250</v>
      </c>
      <c r="T46" s="21">
        <f t="shared" si="0"/>
        <v>115</v>
      </c>
      <c r="U46" s="21">
        <f t="shared" si="1"/>
        <v>365</v>
      </c>
      <c r="V46" s="144">
        <f t="shared" si="2"/>
        <v>500</v>
      </c>
      <c r="W46" s="140">
        <f t="shared" si="3"/>
        <v>0</v>
      </c>
      <c r="X46" s="141">
        <f t="shared" si="4"/>
        <v>0</v>
      </c>
      <c r="Y46" s="141">
        <v>0</v>
      </c>
    </row>
    <row r="47" spans="1:25" ht="15" x14ac:dyDescent="0.25">
      <c r="A47" s="138" t="s">
        <v>466</v>
      </c>
      <c r="B47" s="142" t="s">
        <v>328</v>
      </c>
      <c r="C47" s="148" t="s">
        <v>219</v>
      </c>
      <c r="D47" s="139" t="str">
        <f>VLOOKUP(C47,'Seznam HS - nemaš'!$A$1:$B$96,2,FALSE)</f>
        <v>452500</v>
      </c>
      <c r="E47" s="277" t="s">
        <v>367</v>
      </c>
      <c r="F47" s="244" t="s">
        <v>472</v>
      </c>
      <c r="G47" s="154" t="s">
        <v>510</v>
      </c>
      <c r="H47" s="28">
        <f>+IF(ISBLANK(I47),0,VLOOKUP(I47,'8Příloha_2_ceník_pravid_úklid'!$B$9:$C$30,2,0))</f>
        <v>3</v>
      </c>
      <c r="I47" s="143" t="s">
        <v>3</v>
      </c>
      <c r="J47" s="145">
        <f>6.27*4.08</f>
        <v>25.581599999999998</v>
      </c>
      <c r="K47" s="22" t="s">
        <v>51</v>
      </c>
      <c r="L47" s="198" t="s">
        <v>65</v>
      </c>
      <c r="M47" s="22" t="s">
        <v>49</v>
      </c>
      <c r="N47" s="19">
        <f>IF((VLOOKUP(I47,'8Příloha_2_ceník_pravid_úklid'!$B$9:$I$30,8,0))=0,VLOOKUP(I47,'8Příloha_2_ceník_pravid_úklid'!$B$9:$K$30,10,0),VLOOKUP(I47,'8Příloha_2_ceník_pravid_úklid'!$B$9:$I$30,8,0))</f>
        <v>0</v>
      </c>
      <c r="O47" s="20">
        <v>2</v>
      </c>
      <c r="P47" s="20">
        <v>1</v>
      </c>
      <c r="Q47" s="20">
        <v>0</v>
      </c>
      <c r="R47" s="20">
        <v>0</v>
      </c>
      <c r="S47" s="21">
        <f>NETWORKDAYS.INTL(DATE(2018,1,1),DATE(2018,12,31),1,{"2018/1/1";"2018/3/30";"2018/4/2";"2018/5/1";"2018/5/8";"2018/7/5";"2018/7/6";"2018/09/28";"2018/11/17";"2018/12/24";"2018/12/25";"2018/12/26"})</f>
        <v>250</v>
      </c>
      <c r="T47" s="21">
        <f t="shared" si="0"/>
        <v>115</v>
      </c>
      <c r="U47" s="21">
        <f t="shared" si="1"/>
        <v>365</v>
      </c>
      <c r="V47" s="144">
        <f t="shared" si="2"/>
        <v>500</v>
      </c>
      <c r="W47" s="140">
        <f t="shared" si="3"/>
        <v>0</v>
      </c>
      <c r="X47" s="141">
        <f t="shared" si="4"/>
        <v>0</v>
      </c>
      <c r="Y47" s="141">
        <v>0</v>
      </c>
    </row>
    <row r="48" spans="1:25" ht="15" x14ac:dyDescent="0.25">
      <c r="A48" s="138" t="s">
        <v>466</v>
      </c>
      <c r="B48" s="142" t="s">
        <v>328</v>
      </c>
      <c r="C48" s="148" t="s">
        <v>219</v>
      </c>
      <c r="D48" s="139" t="str">
        <f>VLOOKUP(C48,'Seznam HS - nemaš'!$A$1:$B$96,2,FALSE)</f>
        <v>452500</v>
      </c>
      <c r="E48" s="277" t="s">
        <v>330</v>
      </c>
      <c r="F48" s="244" t="s">
        <v>329</v>
      </c>
      <c r="G48" s="154" t="s">
        <v>511</v>
      </c>
      <c r="H48" s="28">
        <f>+IF(ISBLANK(I48),0,VLOOKUP(I48,'8Příloha_2_ceník_pravid_úklid'!$B$9:$C$30,2,0))</f>
        <v>4</v>
      </c>
      <c r="I48" s="143" t="s">
        <v>9</v>
      </c>
      <c r="J48" s="145">
        <f>4.18*2.23</f>
        <v>9.3213999999999988</v>
      </c>
      <c r="K48" s="22" t="s">
        <v>51</v>
      </c>
      <c r="L48" s="156" t="s">
        <v>21</v>
      </c>
      <c r="M48" s="22" t="s">
        <v>49</v>
      </c>
      <c r="N48" s="19">
        <f>IF((VLOOKUP(I48,'8Příloha_2_ceník_pravid_úklid'!$B$9:$I$30,8,0))=0,VLOOKUP(I48,'8Příloha_2_ceník_pravid_úklid'!$B$9:$K$30,10,0),VLOOKUP(I48,'8Příloha_2_ceník_pravid_úklid'!$B$9:$I$30,8,0))</f>
        <v>0</v>
      </c>
      <c r="O48" s="20">
        <v>1</v>
      </c>
      <c r="P48" s="20">
        <v>1</v>
      </c>
      <c r="Q48" s="20">
        <v>0</v>
      </c>
      <c r="R48" s="20">
        <v>0</v>
      </c>
      <c r="S48" s="21">
        <f>NETWORKDAYS.INTL(DATE(2018,1,1),DATE(2018,12,31),1,{"2018/1/1";"2018/3/30";"2018/4/2";"2018/5/1";"2018/5/8";"2018/7/5";"2018/7/6";"2018/09/28";"2018/11/17";"2018/12/24";"2018/12/25";"2018/12/26"})</f>
        <v>250</v>
      </c>
      <c r="T48" s="21">
        <f t="shared" si="0"/>
        <v>115</v>
      </c>
      <c r="U48" s="21">
        <f t="shared" si="1"/>
        <v>365</v>
      </c>
      <c r="V48" s="144">
        <f t="shared" si="2"/>
        <v>250</v>
      </c>
      <c r="W48" s="140">
        <f t="shared" si="3"/>
        <v>0</v>
      </c>
      <c r="X48" s="141">
        <f t="shared" si="4"/>
        <v>0</v>
      </c>
      <c r="Y48" s="141">
        <v>0</v>
      </c>
    </row>
    <row r="49" spans="1:25" ht="15" x14ac:dyDescent="0.25">
      <c r="A49" s="138" t="s">
        <v>466</v>
      </c>
      <c r="B49" s="142" t="s">
        <v>328</v>
      </c>
      <c r="C49" s="148" t="s">
        <v>219</v>
      </c>
      <c r="D49" s="139" t="str">
        <f>VLOOKUP(C49,'Seznam HS - nemaš'!$A$1:$B$96,2,FALSE)</f>
        <v>452500</v>
      </c>
      <c r="E49" s="277" t="s">
        <v>464</v>
      </c>
      <c r="F49" s="244" t="s">
        <v>329</v>
      </c>
      <c r="G49" s="154" t="s">
        <v>512</v>
      </c>
      <c r="H49" s="28">
        <f>+IF(ISBLANK(I49),0,VLOOKUP(I49,'8Příloha_2_ceník_pravid_úklid'!$B$9:$C$30,2,0))</f>
        <v>4</v>
      </c>
      <c r="I49" s="143" t="s">
        <v>9</v>
      </c>
      <c r="J49" s="145">
        <f>4.18*2.41</f>
        <v>10.0738</v>
      </c>
      <c r="K49" s="22" t="s">
        <v>51</v>
      </c>
      <c r="L49" s="156" t="s">
        <v>21</v>
      </c>
      <c r="M49" s="22" t="s">
        <v>49</v>
      </c>
      <c r="N49" s="19">
        <f>IF((VLOOKUP(I49,'8Příloha_2_ceník_pravid_úklid'!$B$9:$I$30,8,0))=0,VLOOKUP(I49,'8Příloha_2_ceník_pravid_úklid'!$B$9:$K$30,10,0),VLOOKUP(I49,'8Příloha_2_ceník_pravid_úklid'!$B$9:$I$30,8,0))</f>
        <v>0</v>
      </c>
      <c r="O49" s="20">
        <v>1</v>
      </c>
      <c r="P49" s="20">
        <v>1</v>
      </c>
      <c r="Q49" s="20">
        <v>0</v>
      </c>
      <c r="R49" s="20">
        <v>0</v>
      </c>
      <c r="S49" s="21">
        <f>NETWORKDAYS.INTL(DATE(2018,1,1),DATE(2018,12,31),1,{"2018/1/1";"2018/3/30";"2018/4/2";"2018/5/1";"2018/5/8";"2018/7/5";"2018/7/6";"2018/09/28";"2018/11/17";"2018/12/24";"2018/12/25";"2018/12/26"})</f>
        <v>250</v>
      </c>
      <c r="T49" s="21">
        <f t="shared" si="0"/>
        <v>115</v>
      </c>
      <c r="U49" s="21">
        <f t="shared" si="1"/>
        <v>365</v>
      </c>
      <c r="V49" s="144">
        <f t="shared" si="2"/>
        <v>250</v>
      </c>
      <c r="W49" s="140">
        <f t="shared" si="3"/>
        <v>0</v>
      </c>
      <c r="X49" s="141">
        <f t="shared" si="4"/>
        <v>0</v>
      </c>
      <c r="Y49" s="141">
        <v>0</v>
      </c>
    </row>
    <row r="50" spans="1:25" ht="15" x14ac:dyDescent="0.25">
      <c r="A50" s="138" t="s">
        <v>466</v>
      </c>
      <c r="B50" s="142" t="s">
        <v>328</v>
      </c>
      <c r="C50" s="148" t="s">
        <v>219</v>
      </c>
      <c r="D50" s="139" t="str">
        <f>VLOOKUP(C50,'Seznam HS - nemaš'!$A$1:$B$96,2,FALSE)</f>
        <v>452500</v>
      </c>
      <c r="E50" s="277" t="s">
        <v>513</v>
      </c>
      <c r="F50" s="244" t="s">
        <v>329</v>
      </c>
      <c r="G50" s="154" t="s">
        <v>492</v>
      </c>
      <c r="H50" s="28">
        <f>+IF(ISBLANK(I50),0,VLOOKUP(I50,'8Příloha_2_ceník_pravid_úklid'!$B$9:$C$30,2,0))</f>
        <v>4</v>
      </c>
      <c r="I50" s="143" t="s">
        <v>9</v>
      </c>
      <c r="J50" s="145">
        <f>4.18*3.36</f>
        <v>14.044799999999999</v>
      </c>
      <c r="K50" s="22" t="s">
        <v>51</v>
      </c>
      <c r="L50" s="156" t="s">
        <v>21</v>
      </c>
      <c r="M50" s="22" t="s">
        <v>49</v>
      </c>
      <c r="N50" s="19">
        <f>IF((VLOOKUP(I50,'8Příloha_2_ceník_pravid_úklid'!$B$9:$I$30,8,0))=0,VLOOKUP(I50,'8Příloha_2_ceník_pravid_úklid'!$B$9:$K$30,10,0),VLOOKUP(I50,'8Příloha_2_ceník_pravid_úklid'!$B$9:$I$30,8,0))</f>
        <v>0</v>
      </c>
      <c r="O50" s="20">
        <v>1</v>
      </c>
      <c r="P50" s="20">
        <v>1</v>
      </c>
      <c r="Q50" s="20">
        <v>0</v>
      </c>
      <c r="R50" s="20">
        <v>0</v>
      </c>
      <c r="S50" s="21">
        <f>NETWORKDAYS.INTL(DATE(2018,1,1),DATE(2018,12,31),1,{"2018/1/1";"2018/3/30";"2018/4/2";"2018/5/1";"2018/5/8";"2018/7/5";"2018/7/6";"2018/09/28";"2018/11/17";"2018/12/24";"2018/12/25";"2018/12/26"})</f>
        <v>250</v>
      </c>
      <c r="T50" s="21">
        <f t="shared" si="0"/>
        <v>115</v>
      </c>
      <c r="U50" s="21">
        <f t="shared" si="1"/>
        <v>365</v>
      </c>
      <c r="V50" s="144">
        <f t="shared" si="2"/>
        <v>250</v>
      </c>
      <c r="W50" s="140">
        <f t="shared" si="3"/>
        <v>0</v>
      </c>
      <c r="X50" s="141">
        <f t="shared" si="4"/>
        <v>0</v>
      </c>
      <c r="Y50" s="141">
        <v>0</v>
      </c>
    </row>
    <row r="51" spans="1:25" ht="15" x14ac:dyDescent="0.25">
      <c r="A51" s="138" t="s">
        <v>466</v>
      </c>
      <c r="B51" s="142" t="s">
        <v>328</v>
      </c>
      <c r="C51" s="148" t="s">
        <v>219</v>
      </c>
      <c r="D51" s="139" t="str">
        <f>VLOOKUP(C51,'Seznam HS - nemaš'!$A$1:$B$96,2,FALSE)</f>
        <v>452500</v>
      </c>
      <c r="E51" s="277" t="s">
        <v>514</v>
      </c>
      <c r="F51" s="244" t="s">
        <v>329</v>
      </c>
      <c r="G51" s="154" t="s">
        <v>377</v>
      </c>
      <c r="H51" s="28">
        <f>+IF(ISBLANK(I51),0,VLOOKUP(I51,'8Příloha_2_ceník_pravid_úklid'!$B$9:$C$30,2,0))</f>
        <v>4</v>
      </c>
      <c r="I51" s="143" t="s">
        <v>9</v>
      </c>
      <c r="J51" s="145">
        <f>4.8*4.18</f>
        <v>20.063999999999997</v>
      </c>
      <c r="K51" s="22" t="s">
        <v>51</v>
      </c>
      <c r="L51" s="156" t="s">
        <v>21</v>
      </c>
      <c r="M51" s="22" t="s">
        <v>49</v>
      </c>
      <c r="N51" s="19">
        <f>IF((VLOOKUP(I51,'8Příloha_2_ceník_pravid_úklid'!$B$9:$I$30,8,0))=0,VLOOKUP(I51,'8Příloha_2_ceník_pravid_úklid'!$B$9:$K$30,10,0),VLOOKUP(I51,'8Příloha_2_ceník_pravid_úklid'!$B$9:$I$30,8,0))</f>
        <v>0</v>
      </c>
      <c r="O51" s="20">
        <v>1</v>
      </c>
      <c r="P51" s="20">
        <v>1</v>
      </c>
      <c r="Q51" s="20">
        <v>0</v>
      </c>
      <c r="R51" s="20">
        <v>0</v>
      </c>
      <c r="S51" s="21">
        <f>NETWORKDAYS.INTL(DATE(2018,1,1),DATE(2018,12,31),1,{"2018/1/1";"2018/3/30";"2018/4/2";"2018/5/1";"2018/5/8";"2018/7/5";"2018/7/6";"2018/09/28";"2018/11/17";"2018/12/24";"2018/12/25";"2018/12/26"})</f>
        <v>250</v>
      </c>
      <c r="T51" s="21">
        <f t="shared" si="0"/>
        <v>115</v>
      </c>
      <c r="U51" s="21">
        <f t="shared" si="1"/>
        <v>365</v>
      </c>
      <c r="V51" s="144">
        <f t="shared" si="2"/>
        <v>250</v>
      </c>
      <c r="W51" s="140">
        <f t="shared" si="3"/>
        <v>0</v>
      </c>
      <c r="X51" s="141">
        <f t="shared" si="4"/>
        <v>0</v>
      </c>
      <c r="Y51" s="141">
        <v>0</v>
      </c>
    </row>
    <row r="52" spans="1:25" ht="15" x14ac:dyDescent="0.25">
      <c r="A52" s="138" t="s">
        <v>466</v>
      </c>
      <c r="B52" s="142" t="s">
        <v>328</v>
      </c>
      <c r="C52" s="148" t="s">
        <v>219</v>
      </c>
      <c r="D52" s="139" t="str">
        <f>VLOOKUP(C52,'Seznam HS - nemaš'!$A$1:$B$96,2,FALSE)</f>
        <v>452500</v>
      </c>
      <c r="E52" s="277" t="s">
        <v>515</v>
      </c>
      <c r="F52" s="244" t="s">
        <v>472</v>
      </c>
      <c r="G52" s="154" t="s">
        <v>516</v>
      </c>
      <c r="H52" s="28">
        <f>+IF(ISBLANK(I52),0,VLOOKUP(I52,'8Příloha_2_ceník_pravid_úklid'!$B$9:$C$30,2,0))</f>
        <v>3</v>
      </c>
      <c r="I52" s="143" t="s">
        <v>3</v>
      </c>
      <c r="J52" s="145">
        <f>6.09*2.7</f>
        <v>16.443000000000001</v>
      </c>
      <c r="K52" s="22" t="s">
        <v>51</v>
      </c>
      <c r="L52" s="156" t="s">
        <v>21</v>
      </c>
      <c r="M52" s="22" t="s">
        <v>49</v>
      </c>
      <c r="N52" s="19">
        <f>IF((VLOOKUP(I52,'8Příloha_2_ceník_pravid_úklid'!$B$9:$I$30,8,0))=0,VLOOKUP(I52,'8Příloha_2_ceník_pravid_úklid'!$B$9:$K$30,10,0),VLOOKUP(I52,'8Příloha_2_ceník_pravid_úklid'!$B$9:$I$30,8,0))</f>
        <v>0</v>
      </c>
      <c r="O52" s="20">
        <v>1</v>
      </c>
      <c r="P52" s="20">
        <v>1</v>
      </c>
      <c r="Q52" s="20">
        <v>0</v>
      </c>
      <c r="R52" s="20">
        <v>0</v>
      </c>
      <c r="S52" s="21">
        <f>NETWORKDAYS.INTL(DATE(2018,1,1),DATE(2018,12,31),1,{"2018/1/1";"2018/3/30";"2018/4/2";"2018/5/1";"2018/5/8";"2018/7/5";"2018/7/6";"2018/09/28";"2018/11/17";"2018/12/24";"2018/12/25";"2018/12/26"})</f>
        <v>250</v>
      </c>
      <c r="T52" s="21">
        <f t="shared" si="0"/>
        <v>115</v>
      </c>
      <c r="U52" s="21">
        <f t="shared" si="1"/>
        <v>365</v>
      </c>
      <c r="V52" s="144">
        <f t="shared" si="2"/>
        <v>250</v>
      </c>
      <c r="W52" s="140">
        <f t="shared" si="3"/>
        <v>0</v>
      </c>
      <c r="X52" s="141">
        <f t="shared" si="4"/>
        <v>0</v>
      </c>
      <c r="Y52" s="141">
        <v>0</v>
      </c>
    </row>
    <row r="53" spans="1:25" ht="15" x14ac:dyDescent="0.25">
      <c r="A53" s="138" t="s">
        <v>466</v>
      </c>
      <c r="B53" s="142" t="s">
        <v>328</v>
      </c>
      <c r="C53" s="148" t="s">
        <v>219</v>
      </c>
      <c r="D53" s="139" t="str">
        <f>VLOOKUP(C53,'Seznam HS - nemaš'!$A$1:$B$96,2,FALSE)</f>
        <v>452500</v>
      </c>
      <c r="E53" s="277" t="s">
        <v>517</v>
      </c>
      <c r="F53" s="244" t="s">
        <v>472</v>
      </c>
      <c r="G53" s="154" t="s">
        <v>518</v>
      </c>
      <c r="H53" s="28">
        <f>+IF(ISBLANK(I53),0,VLOOKUP(I53,'8Příloha_2_ceník_pravid_úklid'!$B$9:$C$30,2,0))</f>
        <v>3</v>
      </c>
      <c r="I53" s="143" t="s">
        <v>3</v>
      </c>
      <c r="J53" s="145">
        <f>3.98*3.5</f>
        <v>13.93</v>
      </c>
      <c r="K53" s="22" t="s">
        <v>51</v>
      </c>
      <c r="L53" s="156" t="s">
        <v>21</v>
      </c>
      <c r="M53" s="22" t="s">
        <v>49</v>
      </c>
      <c r="N53" s="19">
        <f>IF((VLOOKUP(I53,'8Příloha_2_ceník_pravid_úklid'!$B$9:$I$30,8,0))=0,VLOOKUP(I53,'8Příloha_2_ceník_pravid_úklid'!$B$9:$K$30,10,0),VLOOKUP(I53,'8Příloha_2_ceník_pravid_úklid'!$B$9:$I$30,8,0))</f>
        <v>0</v>
      </c>
      <c r="O53" s="20">
        <v>1</v>
      </c>
      <c r="P53" s="20">
        <v>1</v>
      </c>
      <c r="Q53" s="20">
        <v>0</v>
      </c>
      <c r="R53" s="20">
        <v>0</v>
      </c>
      <c r="S53" s="21">
        <f>NETWORKDAYS.INTL(DATE(2018,1,1),DATE(2018,12,31),1,{"2018/1/1";"2018/3/30";"2018/4/2";"2018/5/1";"2018/5/8";"2018/7/5";"2018/7/6";"2018/09/28";"2018/11/17";"2018/12/24";"2018/12/25";"2018/12/26"})</f>
        <v>250</v>
      </c>
      <c r="T53" s="21">
        <f t="shared" si="0"/>
        <v>115</v>
      </c>
      <c r="U53" s="21">
        <f t="shared" si="1"/>
        <v>365</v>
      </c>
      <c r="V53" s="144">
        <f t="shared" si="2"/>
        <v>250</v>
      </c>
      <c r="W53" s="140">
        <f t="shared" si="3"/>
        <v>0</v>
      </c>
      <c r="X53" s="141">
        <f t="shared" si="4"/>
        <v>0</v>
      </c>
      <c r="Y53" s="141">
        <v>0</v>
      </c>
    </row>
    <row r="54" spans="1:25" ht="15" x14ac:dyDescent="0.25">
      <c r="A54" s="138" t="s">
        <v>466</v>
      </c>
      <c r="B54" s="142" t="s">
        <v>328</v>
      </c>
      <c r="C54" s="148" t="s">
        <v>219</v>
      </c>
      <c r="D54" s="139" t="str">
        <f>VLOOKUP(C54,'Seznam HS - nemaš'!$A$1:$B$96,2,FALSE)</f>
        <v>452500</v>
      </c>
      <c r="E54" s="277" t="s">
        <v>519</v>
      </c>
      <c r="F54" s="244" t="s">
        <v>472</v>
      </c>
      <c r="G54" s="154" t="s">
        <v>520</v>
      </c>
      <c r="H54" s="28">
        <f>+IF(ISBLANK(I54),0,VLOOKUP(I54,'8Příloha_2_ceník_pravid_úklid'!$B$9:$C$30,2,0))</f>
        <v>3</v>
      </c>
      <c r="I54" s="143" t="s">
        <v>3</v>
      </c>
      <c r="J54" s="145">
        <f>3.39*1.61</f>
        <v>5.4579000000000004</v>
      </c>
      <c r="K54" s="22" t="s">
        <v>51</v>
      </c>
      <c r="L54" s="156" t="s">
        <v>21</v>
      </c>
      <c r="M54" s="22" t="s">
        <v>49</v>
      </c>
      <c r="N54" s="19">
        <f>IF((VLOOKUP(I54,'8Příloha_2_ceník_pravid_úklid'!$B$9:$I$30,8,0))=0,VLOOKUP(I54,'8Příloha_2_ceník_pravid_úklid'!$B$9:$K$30,10,0),VLOOKUP(I54,'8Příloha_2_ceník_pravid_úklid'!$B$9:$I$30,8,0))</f>
        <v>0</v>
      </c>
      <c r="O54" s="20">
        <v>1</v>
      </c>
      <c r="P54" s="20">
        <v>1</v>
      </c>
      <c r="Q54" s="20">
        <v>0</v>
      </c>
      <c r="R54" s="20">
        <v>0</v>
      </c>
      <c r="S54" s="21">
        <f>NETWORKDAYS.INTL(DATE(2018,1,1),DATE(2018,12,31),1,{"2018/1/1";"2018/3/30";"2018/4/2";"2018/5/1";"2018/5/8";"2018/7/5";"2018/7/6";"2018/09/28";"2018/11/17";"2018/12/24";"2018/12/25";"2018/12/26"})</f>
        <v>250</v>
      </c>
      <c r="T54" s="21">
        <f t="shared" si="0"/>
        <v>115</v>
      </c>
      <c r="U54" s="21">
        <f t="shared" si="1"/>
        <v>365</v>
      </c>
      <c r="V54" s="144">
        <f t="shared" si="2"/>
        <v>250</v>
      </c>
      <c r="W54" s="140">
        <f t="shared" si="3"/>
        <v>0</v>
      </c>
      <c r="X54" s="141">
        <f t="shared" si="4"/>
        <v>0</v>
      </c>
      <c r="Y54" s="141">
        <v>0</v>
      </c>
    </row>
    <row r="55" spans="1:25" ht="15" x14ac:dyDescent="0.25">
      <c r="A55" s="138" t="s">
        <v>466</v>
      </c>
      <c r="B55" s="142" t="s">
        <v>328</v>
      </c>
      <c r="C55" s="148" t="s">
        <v>219</v>
      </c>
      <c r="D55" s="139" t="str">
        <f>VLOOKUP(C55,'Seznam HS - nemaš'!$A$1:$B$96,2,FALSE)</f>
        <v>452500</v>
      </c>
      <c r="E55" s="277" t="s">
        <v>521</v>
      </c>
      <c r="F55" s="244" t="s">
        <v>472</v>
      </c>
      <c r="G55" s="154" t="s">
        <v>522</v>
      </c>
      <c r="H55" s="28">
        <f>+IF(ISBLANK(I55),0,VLOOKUP(I55,'8Příloha_2_ceník_pravid_úklid'!$B$9:$C$30,2,0))</f>
        <v>3</v>
      </c>
      <c r="I55" s="143" t="s">
        <v>3</v>
      </c>
      <c r="J55" s="145">
        <f>5.62*2.4</f>
        <v>13.488</v>
      </c>
      <c r="K55" s="22" t="s">
        <v>51</v>
      </c>
      <c r="L55" s="198" t="s">
        <v>65</v>
      </c>
      <c r="M55" s="22" t="s">
        <v>49</v>
      </c>
      <c r="N55" s="19">
        <f>IF((VLOOKUP(I55,'8Příloha_2_ceník_pravid_úklid'!$B$9:$I$30,8,0))=0,VLOOKUP(I55,'8Příloha_2_ceník_pravid_úklid'!$B$9:$K$30,10,0),VLOOKUP(I55,'8Příloha_2_ceník_pravid_úklid'!$B$9:$I$30,8,0))</f>
        <v>0</v>
      </c>
      <c r="O55" s="20">
        <v>2</v>
      </c>
      <c r="P55" s="20">
        <v>1</v>
      </c>
      <c r="Q55" s="20">
        <v>0</v>
      </c>
      <c r="R55" s="20">
        <v>0</v>
      </c>
      <c r="S55" s="21">
        <f>NETWORKDAYS.INTL(DATE(2018,1,1),DATE(2018,12,31),1,{"2018/1/1";"2018/3/30";"2018/4/2";"2018/5/1";"2018/5/8";"2018/7/5";"2018/7/6";"2018/09/28";"2018/11/17";"2018/12/24";"2018/12/25";"2018/12/26"})</f>
        <v>250</v>
      </c>
      <c r="T55" s="21">
        <f t="shared" si="0"/>
        <v>115</v>
      </c>
      <c r="U55" s="21">
        <f t="shared" si="1"/>
        <v>365</v>
      </c>
      <c r="V55" s="144">
        <f t="shared" si="2"/>
        <v>500</v>
      </c>
      <c r="W55" s="140">
        <f t="shared" si="3"/>
        <v>0</v>
      </c>
      <c r="X55" s="141">
        <f t="shared" si="4"/>
        <v>0</v>
      </c>
      <c r="Y55" s="141">
        <v>0</v>
      </c>
    </row>
    <row r="56" spans="1:25" ht="15" x14ac:dyDescent="0.25">
      <c r="A56" s="138" t="s">
        <v>466</v>
      </c>
      <c r="B56" s="142" t="s">
        <v>328</v>
      </c>
      <c r="C56" s="148" t="s">
        <v>219</v>
      </c>
      <c r="D56" s="139" t="str">
        <f>VLOOKUP(C56,'Seznam HS - nemaš'!$A$1:$B$96,2,FALSE)</f>
        <v>452500</v>
      </c>
      <c r="E56" s="277" t="s">
        <v>502</v>
      </c>
      <c r="F56" s="244" t="s">
        <v>472</v>
      </c>
      <c r="G56" s="154" t="s">
        <v>523</v>
      </c>
      <c r="H56" s="28">
        <f>+IF(ISBLANK(I56),0,VLOOKUP(I56,'8Příloha_2_ceník_pravid_úklid'!$B$9:$C$30,2,0))</f>
        <v>3</v>
      </c>
      <c r="I56" s="143" t="s">
        <v>3</v>
      </c>
      <c r="J56" s="145">
        <f>2.04*1.76</f>
        <v>3.5904000000000003</v>
      </c>
      <c r="K56" s="22" t="s">
        <v>51</v>
      </c>
      <c r="L56" s="198" t="s">
        <v>65</v>
      </c>
      <c r="M56" s="22" t="s">
        <v>49</v>
      </c>
      <c r="N56" s="19">
        <f>IF((VLOOKUP(I56,'8Příloha_2_ceník_pravid_úklid'!$B$9:$I$30,8,0))=0,VLOOKUP(I56,'8Příloha_2_ceník_pravid_úklid'!$B$9:$K$30,10,0),VLOOKUP(I56,'8Příloha_2_ceník_pravid_úklid'!$B$9:$I$30,8,0))</f>
        <v>0</v>
      </c>
      <c r="O56" s="20">
        <v>2</v>
      </c>
      <c r="P56" s="20">
        <v>1</v>
      </c>
      <c r="Q56" s="20">
        <v>0</v>
      </c>
      <c r="R56" s="20">
        <v>0</v>
      </c>
      <c r="S56" s="21">
        <f>NETWORKDAYS.INTL(DATE(2018,1,1),DATE(2018,12,31),1,{"2018/1/1";"2018/3/30";"2018/4/2";"2018/5/1";"2018/5/8";"2018/7/5";"2018/7/6";"2018/09/28";"2018/11/17";"2018/12/24";"2018/12/25";"2018/12/26"})</f>
        <v>250</v>
      </c>
      <c r="T56" s="21">
        <f t="shared" si="0"/>
        <v>115</v>
      </c>
      <c r="U56" s="21">
        <f t="shared" si="1"/>
        <v>365</v>
      </c>
      <c r="V56" s="144">
        <f t="shared" si="2"/>
        <v>500</v>
      </c>
      <c r="W56" s="140">
        <f t="shared" si="3"/>
        <v>0</v>
      </c>
      <c r="X56" s="141">
        <f t="shared" si="4"/>
        <v>0</v>
      </c>
      <c r="Y56" s="141">
        <v>0</v>
      </c>
    </row>
    <row r="57" spans="1:25" ht="15" x14ac:dyDescent="0.25">
      <c r="A57" s="157" t="s">
        <v>466</v>
      </c>
      <c r="B57" s="158" t="s">
        <v>328</v>
      </c>
      <c r="C57" s="158" t="s">
        <v>219</v>
      </c>
      <c r="D57" s="139" t="str">
        <f>VLOOKUP(C57,'Seznam HS - nemaš'!$A$1:$B$96,2,FALSE)</f>
        <v>452500</v>
      </c>
      <c r="E57" s="278" t="s">
        <v>524</v>
      </c>
      <c r="F57" s="279" t="s">
        <v>472</v>
      </c>
      <c r="G57" s="160" t="s">
        <v>525</v>
      </c>
      <c r="H57" s="161">
        <f>+IF(ISBLANK(I57),0,VLOOKUP(I57,'8Příloha_2_ceník_pravid_úklid'!$B$9:$C$30,2,0))</f>
        <v>3</v>
      </c>
      <c r="I57" s="162" t="s">
        <v>3</v>
      </c>
      <c r="J57" s="163">
        <f>5.63*5.47-2.17*1.87</f>
        <v>26.738199999999999</v>
      </c>
      <c r="K57" s="159" t="s">
        <v>51</v>
      </c>
      <c r="L57" s="281" t="s">
        <v>65</v>
      </c>
      <c r="M57" s="159" t="s">
        <v>49</v>
      </c>
      <c r="N57" s="165">
        <f>IF((VLOOKUP(I57,'8Příloha_2_ceník_pravid_úklid'!$B$9:$I$30,8,0))=0,VLOOKUP(I57,'8Příloha_2_ceník_pravid_úklid'!$B$9:$K$30,10,0),VLOOKUP(I57,'8Příloha_2_ceník_pravid_úklid'!$B$9:$I$30,8,0))</f>
        <v>0</v>
      </c>
      <c r="O57" s="166">
        <v>2</v>
      </c>
      <c r="P57" s="166">
        <v>1</v>
      </c>
      <c r="Q57" s="166">
        <v>0</v>
      </c>
      <c r="R57" s="166">
        <v>0</v>
      </c>
      <c r="S57" s="167">
        <f>NETWORKDAYS.INTL(DATE(2018,1,1),DATE(2018,12,31),1,{"2018/1/1";"2018/3/30";"2018/4/2";"2018/5/1";"2018/5/8";"2018/7/5";"2018/7/6";"2018/09/28";"2018/11/17";"2018/12/24";"2018/12/25";"2018/12/26"})</f>
        <v>250</v>
      </c>
      <c r="T57" s="167">
        <f t="shared" si="0"/>
        <v>115</v>
      </c>
      <c r="U57" s="167">
        <f t="shared" si="1"/>
        <v>365</v>
      </c>
      <c r="V57" s="168">
        <f t="shared" si="2"/>
        <v>500</v>
      </c>
      <c r="W57" s="169">
        <f t="shared" si="3"/>
        <v>0</v>
      </c>
      <c r="X57" s="170">
        <f t="shared" si="4"/>
        <v>0</v>
      </c>
      <c r="Y57" s="574">
        <v>0</v>
      </c>
    </row>
    <row r="70" spans="10:10" x14ac:dyDescent="0.2">
      <c r="J70" s="290"/>
    </row>
    <row r="71" spans="10:10" x14ac:dyDescent="0.2">
      <c r="J71" s="290"/>
    </row>
    <row r="72" spans="10:10" x14ac:dyDescent="0.2">
      <c r="J72" s="290"/>
    </row>
  </sheetData>
  <sheetProtection password="CA8C" sheet="1" objects="1" scenarios="1" formatCells="0" formatColumns="0" formatRows="0" autoFilter="0"/>
  <autoFilter ref="A5:X69"/>
  <mergeCells count="24">
    <mergeCell ref="L2:L3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K2"/>
    <mergeCell ref="Y2:Y3"/>
    <mergeCell ref="X2:X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</mergeCells>
  <conditionalFormatting sqref="W2:X2">
    <cfRule type="cellIs" dxfId="11" priority="3" stopIfTrue="1" operator="equal">
      <formula>0</formula>
    </cfRule>
  </conditionalFormatting>
  <conditionalFormatting sqref="Y2">
    <cfRule type="cellIs" dxfId="10" priority="1" stopIfTrue="1" operator="equal">
      <formula>0</formula>
    </cfRule>
  </conditionalFormatting>
  <dataValidations count="1">
    <dataValidation type="list" allowBlank="1" showInputMessage="1" showErrorMessage="1" sqref="C6:C57">
      <formula1>HS0</formula1>
    </dataValidation>
  </dataValidations>
  <pageMargins left="0" right="0" top="0" bottom="0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90"/>
  <sheetViews>
    <sheetView zoomScale="55" zoomScaleNormal="55" workbookViewId="0">
      <selection activeCell="J36" sqref="J36"/>
    </sheetView>
  </sheetViews>
  <sheetFormatPr defaultRowHeight="12.75" x14ac:dyDescent="0.2"/>
  <cols>
    <col min="1" max="2" width="9.140625" style="1"/>
    <col min="3" max="3" width="34.42578125" style="1" customWidth="1"/>
    <col min="4" max="4" width="18.7109375" style="1" bestFit="1" customWidth="1"/>
    <col min="5" max="5" width="9.140625" style="1"/>
    <col min="6" max="6" width="16.28515625" style="1" customWidth="1"/>
    <col min="7" max="7" width="10" style="1" customWidth="1"/>
    <col min="8" max="11" width="9.140625" style="1"/>
    <col min="12" max="12" width="10.85546875" style="1" customWidth="1"/>
    <col min="13" max="21" width="9.140625" style="1"/>
    <col min="22" max="22" width="10" style="1" bestFit="1" customWidth="1"/>
    <col min="23" max="24" width="11" style="1" customWidth="1"/>
    <col min="25" max="25" width="13.140625" style="1" customWidth="1"/>
    <col min="26" max="16384" width="9.140625" style="1"/>
  </cols>
  <sheetData>
    <row r="1" spans="1:25" ht="16.5" thickBot="1" x14ac:dyDescent="0.3">
      <c r="A1" s="14" t="s">
        <v>526</v>
      </c>
      <c r="B1" s="27"/>
      <c r="C1" s="27"/>
      <c r="D1" s="27"/>
      <c r="E1" s="27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5"/>
      <c r="X1" s="5" t="s">
        <v>100</v>
      </c>
      <c r="Y1" s="6" t="s">
        <v>1777</v>
      </c>
    </row>
    <row r="2" spans="1:25" ht="33.75" customHeight="1" x14ac:dyDescent="0.2">
      <c r="A2" s="755" t="s">
        <v>73</v>
      </c>
      <c r="B2" s="752" t="s">
        <v>72</v>
      </c>
      <c r="C2" s="752" t="s">
        <v>291</v>
      </c>
      <c r="D2" s="752" t="s">
        <v>292</v>
      </c>
      <c r="E2" s="761" t="s">
        <v>62</v>
      </c>
      <c r="F2" s="752" t="s">
        <v>61</v>
      </c>
      <c r="G2" s="752" t="s">
        <v>60</v>
      </c>
      <c r="H2" s="752" t="s">
        <v>98</v>
      </c>
      <c r="I2" s="752" t="s">
        <v>97</v>
      </c>
      <c r="J2" s="754" t="s">
        <v>71</v>
      </c>
      <c r="K2" s="754"/>
      <c r="L2" s="752" t="s">
        <v>59</v>
      </c>
      <c r="M2" s="752" t="s">
        <v>57</v>
      </c>
      <c r="N2" s="752" t="s">
        <v>56</v>
      </c>
      <c r="O2" s="752" t="s">
        <v>103</v>
      </c>
      <c r="P2" s="752" t="s">
        <v>104</v>
      </c>
      <c r="Q2" s="752" t="s">
        <v>105</v>
      </c>
      <c r="R2" s="752" t="s">
        <v>106</v>
      </c>
      <c r="S2" s="752" t="s">
        <v>107</v>
      </c>
      <c r="T2" s="752" t="s">
        <v>108</v>
      </c>
      <c r="U2" s="752" t="s">
        <v>109</v>
      </c>
      <c r="V2" s="752" t="s">
        <v>110</v>
      </c>
      <c r="W2" s="752" t="s">
        <v>1744</v>
      </c>
      <c r="X2" s="750" t="s">
        <v>1745</v>
      </c>
      <c r="Y2" s="750" t="s">
        <v>1746</v>
      </c>
    </row>
    <row r="3" spans="1:25" ht="33.75" customHeight="1" thickBot="1" x14ac:dyDescent="0.25">
      <c r="A3" s="756"/>
      <c r="B3" s="753"/>
      <c r="C3" s="753"/>
      <c r="D3" s="753"/>
      <c r="E3" s="762"/>
      <c r="F3" s="753"/>
      <c r="G3" s="753"/>
      <c r="H3" s="753"/>
      <c r="I3" s="753"/>
      <c r="J3" s="16" t="s">
        <v>124</v>
      </c>
      <c r="K3" s="147" t="s">
        <v>58</v>
      </c>
      <c r="L3" s="753"/>
      <c r="M3" s="753"/>
      <c r="N3" s="753"/>
      <c r="O3" s="753"/>
      <c r="P3" s="753"/>
      <c r="Q3" s="753"/>
      <c r="R3" s="753"/>
      <c r="S3" s="753"/>
      <c r="T3" s="753"/>
      <c r="U3" s="753"/>
      <c r="V3" s="753"/>
      <c r="W3" s="753"/>
      <c r="X3" s="751"/>
      <c r="Y3" s="751"/>
    </row>
    <row r="4" spans="1:25" x14ac:dyDescent="0.2">
      <c r="A4" s="215"/>
      <c r="B4" s="17"/>
      <c r="C4" s="17"/>
      <c r="D4" s="17"/>
      <c r="E4" s="17"/>
      <c r="F4" s="17"/>
      <c r="G4" s="17"/>
      <c r="H4" s="17"/>
      <c r="I4" s="17"/>
      <c r="J4" s="31">
        <f>SUM(J6:J17,J19:J20,J23:J25,J54:J72,J74:J116,J118:J155,J157,J160:J166,J169:J175,J56:J187)</f>
        <v>3180.8891999999992</v>
      </c>
      <c r="K4" s="31">
        <f>SUM(J6:J174,J39:J187)</f>
        <v>3833.5191999999993</v>
      </c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8">
        <f>SUM(W6:W175)</f>
        <v>0</v>
      </c>
      <c r="X4" s="131">
        <f>SUM(X6:X175)</f>
        <v>0</v>
      </c>
      <c r="Y4" s="131">
        <f>SUM(Y6:Y174)</f>
        <v>0</v>
      </c>
    </row>
    <row r="5" spans="1:25" x14ac:dyDescent="0.2">
      <c r="A5" s="218"/>
      <c r="B5" s="177"/>
      <c r="C5" s="177"/>
      <c r="D5" s="177"/>
      <c r="E5" s="177"/>
      <c r="F5" s="177"/>
      <c r="G5" s="177"/>
      <c r="H5" s="177"/>
      <c r="I5" s="177"/>
      <c r="J5" s="178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8"/>
      <c r="X5" s="220"/>
      <c r="Y5" s="220"/>
    </row>
    <row r="6" spans="1:25" x14ac:dyDescent="0.2">
      <c r="A6" s="171" t="s">
        <v>527</v>
      </c>
      <c r="B6" s="148" t="s">
        <v>54</v>
      </c>
      <c r="C6" s="148"/>
      <c r="D6" s="139">
        <f>VLOOKUP(C6,'Seznam HS - nemaš'!$A$1:$B$96,2,FALSE)</f>
        <v>0</v>
      </c>
      <c r="E6" s="243">
        <v>101</v>
      </c>
      <c r="F6" s="244" t="s">
        <v>336</v>
      </c>
      <c r="G6" s="154" t="s">
        <v>53</v>
      </c>
      <c r="H6" s="28">
        <f>+IF(ISBLANK(I6),0,VLOOKUP(I6,'8Příloha_2_ceník_pravid_úklid'!$B$9:$C$30,2,0))</f>
        <v>6</v>
      </c>
      <c r="I6" s="143" t="s">
        <v>1</v>
      </c>
      <c r="J6" s="145">
        <v>18.46</v>
      </c>
      <c r="K6" s="22" t="s">
        <v>64</v>
      </c>
      <c r="L6" s="156" t="s">
        <v>537</v>
      </c>
      <c r="M6" s="243" t="s">
        <v>49</v>
      </c>
      <c r="N6" s="19">
        <f>IF((VLOOKUP(I6,'8Příloha_2_ceník_pravid_úklid'!$B$9:$I$30,8,0))=0,VLOOKUP(I6,'8Příloha_2_ceník_pravid_úklid'!$B$9:$K$30,10,0),VLOOKUP(I6,'8Příloha_2_ceník_pravid_úklid'!$B$9:$I$30,8,0))</f>
        <v>0</v>
      </c>
      <c r="O6" s="20">
        <v>1</v>
      </c>
      <c r="P6" s="20">
        <v>1</v>
      </c>
      <c r="Q6" s="20">
        <v>1</v>
      </c>
      <c r="R6" s="20">
        <v>1</v>
      </c>
      <c r="S6" s="26">
        <f>NETWORKDAYS.INTL(DATE(2018,1,1),DATE(2018,12,31),1,{"2018/1/1";"2018/3/30";"2018/4/2";"2018/5/1";"2018/5/8";"2018/7/5";"2018/7/6";"2018/09/28";"2018/11/17";"2018/12/24";"2018/12/25";"2018/12/26"})</f>
        <v>250</v>
      </c>
      <c r="T6" s="26">
        <f t="shared" ref="T6:T37" si="0">U6-S6</f>
        <v>115</v>
      </c>
      <c r="U6" s="26">
        <f t="shared" ref="U6:U37" si="1">_xlfn.DAYS("1.1.2019","1.1.2018")</f>
        <v>365</v>
      </c>
      <c r="V6" s="305">
        <f t="shared" ref="V6:V69" si="2">ROUND(O6*P6*S6+Q6*R6*T6,2)</f>
        <v>365</v>
      </c>
      <c r="W6" s="304">
        <f t="shared" ref="W6:W69" si="3">ROUND(IF(N6="neoceňuje se",+J6*0*V6,J6*N6*V6),2)</f>
        <v>0</v>
      </c>
      <c r="X6" s="189">
        <f t="shared" ref="X6:Y69" si="4">ROUND(W6*1.21,2)</f>
        <v>0</v>
      </c>
      <c r="Y6" s="189">
        <v>0</v>
      </c>
    </row>
    <row r="7" spans="1:25" x14ac:dyDescent="0.2">
      <c r="A7" s="138" t="s">
        <v>527</v>
      </c>
      <c r="B7" s="142" t="s">
        <v>54</v>
      </c>
      <c r="C7" s="142"/>
      <c r="D7" s="506">
        <f>VLOOKUP(C7,'Seznam HS - nemaš'!$A$1:$B$96,2,FALSE)</f>
        <v>0</v>
      </c>
      <c r="E7" s="243">
        <v>102</v>
      </c>
      <c r="F7" s="244" t="s">
        <v>53</v>
      </c>
      <c r="G7" s="244"/>
      <c r="H7" s="30">
        <f>+IF(ISBLANK(I7),0,VLOOKUP(I7,'8Příloha_2_ceník_pravid_úklid'!$B$9:$C$30,2,0))</f>
        <v>6</v>
      </c>
      <c r="I7" s="143" t="s">
        <v>1</v>
      </c>
      <c r="J7" s="145">
        <v>60.48</v>
      </c>
      <c r="K7" s="22" t="s">
        <v>51</v>
      </c>
      <c r="L7" s="156" t="s">
        <v>537</v>
      </c>
      <c r="M7" s="22" t="s">
        <v>49</v>
      </c>
      <c r="N7" s="19">
        <f>IF((VLOOKUP(I7,'8Příloha_2_ceník_pravid_úklid'!$B$9:$I$30,8,0))=0,VLOOKUP(I7,'8Příloha_2_ceník_pravid_úklid'!$B$9:$K$30,10,0),VLOOKUP(I7,'8Příloha_2_ceník_pravid_úklid'!$B$9:$I$30,8,0))</f>
        <v>0</v>
      </c>
      <c r="O7" s="20">
        <v>1</v>
      </c>
      <c r="P7" s="20">
        <v>1</v>
      </c>
      <c r="Q7" s="20">
        <v>1</v>
      </c>
      <c r="R7" s="20">
        <v>1</v>
      </c>
      <c r="S7" s="21">
        <f>NETWORKDAYS.INTL(DATE(2018,1,1),DATE(2018,12,31),1,{"2018/1/1";"2018/3/30";"2018/4/2";"2018/5/1";"2018/5/8";"2018/7/5";"2018/7/6";"2018/09/28";"2018/11/17";"2018/12/24";"2018/12/25";"2018/12/26"})</f>
        <v>250</v>
      </c>
      <c r="T7" s="21">
        <f t="shared" si="0"/>
        <v>115</v>
      </c>
      <c r="U7" s="21">
        <f t="shared" si="1"/>
        <v>365</v>
      </c>
      <c r="V7" s="305">
        <f t="shared" si="2"/>
        <v>365</v>
      </c>
      <c r="W7" s="304">
        <f t="shared" si="3"/>
        <v>0</v>
      </c>
      <c r="X7" s="189">
        <f t="shared" si="4"/>
        <v>0</v>
      </c>
      <c r="Y7" s="189">
        <v>0</v>
      </c>
    </row>
    <row r="8" spans="1:25" x14ac:dyDescent="0.2">
      <c r="A8" s="138" t="s">
        <v>527</v>
      </c>
      <c r="B8" s="142" t="s">
        <v>54</v>
      </c>
      <c r="C8" s="142" t="s">
        <v>133</v>
      </c>
      <c r="D8" s="506" t="str">
        <f>VLOOKUP(C8,'Seznam HS - nemaš'!$A$1:$B$96,2,FALSE)</f>
        <v>401401</v>
      </c>
      <c r="E8" s="243">
        <v>103</v>
      </c>
      <c r="F8" s="244" t="s">
        <v>383</v>
      </c>
      <c r="G8" s="244"/>
      <c r="H8" s="30">
        <f>+IF(ISBLANK(I8),0,VLOOKUP(I8,'8Příloha_2_ceník_pravid_úklid'!$B$9:$C$30,2,0))</f>
        <v>6</v>
      </c>
      <c r="I8" s="246" t="s">
        <v>1</v>
      </c>
      <c r="J8" s="247">
        <v>30.25</v>
      </c>
      <c r="K8" s="243" t="s">
        <v>536</v>
      </c>
      <c r="L8" s="249" t="s">
        <v>21</v>
      </c>
      <c r="M8" s="243" t="s">
        <v>49</v>
      </c>
      <c r="N8" s="19">
        <f>IF((VLOOKUP(I8,'8Příloha_2_ceník_pravid_úklid'!$B$9:$I$30,8,0))=0,VLOOKUP(I8,'8Příloha_2_ceník_pravid_úklid'!$B$9:$K$30,10,0),VLOOKUP(I8,'8Příloha_2_ceník_pravid_úklid'!$B$9:$I$30,8,0))</f>
        <v>0</v>
      </c>
      <c r="O8" s="20">
        <v>1</v>
      </c>
      <c r="P8" s="20">
        <v>1</v>
      </c>
      <c r="Q8" s="20">
        <v>0</v>
      </c>
      <c r="R8" s="20">
        <v>0</v>
      </c>
      <c r="S8" s="21">
        <f>NETWORKDAYS.INTL(DATE(2018,1,1),DATE(2018,12,31),1,{"2018/1/1";"2018/3/30";"2018/4/2";"2018/5/1";"2018/5/8";"2018/7/5";"2018/7/6";"2018/09/28";"2018/11/17";"2018/12/24";"2018/12/25";"2018/12/26"})</f>
        <v>250</v>
      </c>
      <c r="T8" s="21">
        <f t="shared" si="0"/>
        <v>115</v>
      </c>
      <c r="U8" s="21">
        <f t="shared" si="1"/>
        <v>365</v>
      </c>
      <c r="V8" s="305">
        <f t="shared" si="2"/>
        <v>250</v>
      </c>
      <c r="W8" s="304">
        <f t="shared" si="3"/>
        <v>0</v>
      </c>
      <c r="X8" s="189">
        <f t="shared" si="4"/>
        <v>0</v>
      </c>
      <c r="Y8" s="189">
        <v>0</v>
      </c>
    </row>
    <row r="9" spans="1:25" x14ac:dyDescent="0.2">
      <c r="A9" s="138" t="s">
        <v>527</v>
      </c>
      <c r="B9" s="142" t="s">
        <v>54</v>
      </c>
      <c r="C9" s="142" t="s">
        <v>133</v>
      </c>
      <c r="D9" s="506" t="str">
        <f>VLOOKUP(C9,'Seznam HS - nemaš'!$A$1:$B$96,2,FALSE)</f>
        <v>401401</v>
      </c>
      <c r="E9" s="243">
        <v>104</v>
      </c>
      <c r="F9" s="244" t="s">
        <v>534</v>
      </c>
      <c r="G9" s="244"/>
      <c r="H9" s="30">
        <f>+IF(ISBLANK(I9),0,VLOOKUP(I9,'8Příloha_2_ceník_pravid_úklid'!$B$9:$C$30,2,0))</f>
        <v>2</v>
      </c>
      <c r="I9" s="246" t="s">
        <v>2</v>
      </c>
      <c r="J9" s="247">
        <v>15.29</v>
      </c>
      <c r="K9" s="243" t="s">
        <v>51</v>
      </c>
      <c r="L9" s="249" t="s">
        <v>21</v>
      </c>
      <c r="M9" s="243" t="s">
        <v>49</v>
      </c>
      <c r="N9" s="19">
        <f>IF((VLOOKUP(I9,'8Příloha_2_ceník_pravid_úklid'!$B$9:$I$30,8,0))=0,VLOOKUP(I9,'8Příloha_2_ceník_pravid_úklid'!$B$9:$K$30,10,0),VLOOKUP(I9,'8Příloha_2_ceník_pravid_úklid'!$B$9:$I$30,8,0))</f>
        <v>0</v>
      </c>
      <c r="O9" s="20">
        <v>1</v>
      </c>
      <c r="P9" s="20">
        <v>1</v>
      </c>
      <c r="Q9" s="20">
        <v>0</v>
      </c>
      <c r="R9" s="20">
        <v>0</v>
      </c>
      <c r="S9" s="21">
        <f>NETWORKDAYS.INTL(DATE(2018,1,1),DATE(2018,12,31),1,{"2018/1/1";"2018/3/30";"2018/4/2";"2018/5/1";"2018/5/8";"2018/7/5";"2018/7/6";"2018/09/28";"2018/11/17";"2018/12/24";"2018/12/25";"2018/12/26"})</f>
        <v>250</v>
      </c>
      <c r="T9" s="21">
        <f t="shared" si="0"/>
        <v>115</v>
      </c>
      <c r="U9" s="21">
        <f t="shared" si="1"/>
        <v>365</v>
      </c>
      <c r="V9" s="305">
        <f t="shared" si="2"/>
        <v>250</v>
      </c>
      <c r="W9" s="304">
        <f t="shared" si="3"/>
        <v>0</v>
      </c>
      <c r="X9" s="189">
        <f t="shared" si="4"/>
        <v>0</v>
      </c>
      <c r="Y9" s="189">
        <v>0</v>
      </c>
    </row>
    <row r="10" spans="1:25" x14ac:dyDescent="0.2">
      <c r="A10" s="138" t="s">
        <v>527</v>
      </c>
      <c r="B10" s="142" t="s">
        <v>54</v>
      </c>
      <c r="C10" s="142" t="s">
        <v>133</v>
      </c>
      <c r="D10" s="506" t="str">
        <f>VLOOKUP(C10,'Seznam HS - nemaš'!$A$1:$B$96,2,FALSE)</f>
        <v>401401</v>
      </c>
      <c r="E10" s="243">
        <v>105</v>
      </c>
      <c r="F10" s="244" t="s">
        <v>532</v>
      </c>
      <c r="G10" s="244"/>
      <c r="H10" s="30">
        <f>+IF(ISBLANK(I10),0,VLOOKUP(I10,'8Příloha_2_ceník_pravid_úklid'!$B$9:$C$30,2,0))</f>
        <v>2</v>
      </c>
      <c r="I10" s="246" t="s">
        <v>2</v>
      </c>
      <c r="J10" s="247">
        <v>13.53</v>
      </c>
      <c r="K10" s="243" t="s">
        <v>51</v>
      </c>
      <c r="L10" s="249" t="s">
        <v>21</v>
      </c>
      <c r="M10" s="243" t="s">
        <v>49</v>
      </c>
      <c r="N10" s="19">
        <f>IF((VLOOKUP(I10,'8Příloha_2_ceník_pravid_úklid'!$B$9:$I$30,8,0))=0,VLOOKUP(I10,'8Příloha_2_ceník_pravid_úklid'!$B$9:$K$30,10,0),VLOOKUP(I10,'8Příloha_2_ceník_pravid_úklid'!$B$9:$I$30,8,0))</f>
        <v>0</v>
      </c>
      <c r="O10" s="20">
        <v>1</v>
      </c>
      <c r="P10" s="20">
        <v>1</v>
      </c>
      <c r="Q10" s="20">
        <v>0</v>
      </c>
      <c r="R10" s="20">
        <v>0</v>
      </c>
      <c r="S10" s="21">
        <f>NETWORKDAYS.INTL(DATE(2018,1,1),DATE(2018,12,31),1,{"2018/1/1";"2018/3/30";"2018/4/2";"2018/5/1";"2018/5/8";"2018/7/5";"2018/7/6";"2018/09/28";"2018/11/17";"2018/12/24";"2018/12/25";"2018/12/26"})</f>
        <v>250</v>
      </c>
      <c r="T10" s="21">
        <f t="shared" si="0"/>
        <v>115</v>
      </c>
      <c r="U10" s="21">
        <f t="shared" si="1"/>
        <v>365</v>
      </c>
      <c r="V10" s="305">
        <f t="shared" si="2"/>
        <v>250</v>
      </c>
      <c r="W10" s="304">
        <f t="shared" si="3"/>
        <v>0</v>
      </c>
      <c r="X10" s="189">
        <f t="shared" si="4"/>
        <v>0</v>
      </c>
      <c r="Y10" s="189">
        <v>0</v>
      </c>
    </row>
    <row r="11" spans="1:25" x14ac:dyDescent="0.2">
      <c r="A11" s="138" t="s">
        <v>527</v>
      </c>
      <c r="B11" s="142" t="s">
        <v>54</v>
      </c>
      <c r="C11" s="142" t="s">
        <v>131</v>
      </c>
      <c r="D11" s="506" t="str">
        <f>VLOOKUP(C11,'Seznam HS - nemaš'!$A$1:$B$96,2,FALSE)</f>
        <v>401400</v>
      </c>
      <c r="E11" s="243">
        <v>106</v>
      </c>
      <c r="F11" s="244" t="s">
        <v>530</v>
      </c>
      <c r="G11" s="244"/>
      <c r="H11" s="30">
        <f>+IF(ISBLANK(I11),0,VLOOKUP(I11,'8Příloha_2_ceník_pravid_úklid'!$B$9:$C$30,2,0))</f>
        <v>2</v>
      </c>
      <c r="I11" s="246" t="s">
        <v>2</v>
      </c>
      <c r="J11" s="247">
        <v>13.2</v>
      </c>
      <c r="K11" s="243" t="s">
        <v>51</v>
      </c>
      <c r="L11" s="249" t="s">
        <v>21</v>
      </c>
      <c r="M11" s="243" t="s">
        <v>49</v>
      </c>
      <c r="N11" s="19">
        <f>IF((VLOOKUP(I11,'8Příloha_2_ceník_pravid_úklid'!$B$9:$I$30,8,0))=0,VLOOKUP(I11,'8Příloha_2_ceník_pravid_úklid'!$B$9:$K$30,10,0),VLOOKUP(I11,'8Příloha_2_ceník_pravid_úklid'!$B$9:$I$30,8,0))</f>
        <v>0</v>
      </c>
      <c r="O11" s="20">
        <v>1</v>
      </c>
      <c r="P11" s="20">
        <v>1</v>
      </c>
      <c r="Q11" s="20">
        <v>0</v>
      </c>
      <c r="R11" s="20">
        <v>0</v>
      </c>
      <c r="S11" s="21">
        <f>NETWORKDAYS.INTL(DATE(2018,1,1),DATE(2018,12,31),1,{"2018/1/1";"2018/3/30";"2018/4/2";"2018/5/1";"2018/5/8";"2018/7/5";"2018/7/6";"2018/09/28";"2018/11/17";"2018/12/24";"2018/12/25";"2018/12/26"})</f>
        <v>250</v>
      </c>
      <c r="T11" s="21">
        <f t="shared" si="0"/>
        <v>115</v>
      </c>
      <c r="U11" s="21">
        <f t="shared" si="1"/>
        <v>365</v>
      </c>
      <c r="V11" s="305">
        <f t="shared" si="2"/>
        <v>250</v>
      </c>
      <c r="W11" s="304">
        <f t="shared" si="3"/>
        <v>0</v>
      </c>
      <c r="X11" s="189">
        <f t="shared" si="4"/>
        <v>0</v>
      </c>
      <c r="Y11" s="189">
        <v>0</v>
      </c>
    </row>
    <row r="12" spans="1:25" x14ac:dyDescent="0.2">
      <c r="A12" s="138" t="s">
        <v>527</v>
      </c>
      <c r="B12" s="142" t="s">
        <v>54</v>
      </c>
      <c r="C12" s="142" t="s">
        <v>135</v>
      </c>
      <c r="D12" s="506" t="str">
        <f>VLOOKUP(C12,'Seznam HS - nemaš'!$A$1:$B$96,2,FALSE)</f>
        <v>401402</v>
      </c>
      <c r="E12" s="243">
        <v>107</v>
      </c>
      <c r="F12" s="244" t="s">
        <v>529</v>
      </c>
      <c r="G12" s="244"/>
      <c r="H12" s="30">
        <f>+IF(ISBLANK(I12),0,VLOOKUP(I12,'8Příloha_2_ceník_pravid_úklid'!$B$9:$C$30,2,0))</f>
        <v>2</v>
      </c>
      <c r="I12" s="246" t="s">
        <v>2</v>
      </c>
      <c r="J12" s="247">
        <v>10.7</v>
      </c>
      <c r="K12" s="243" t="s">
        <v>51</v>
      </c>
      <c r="L12" s="249" t="s">
        <v>21</v>
      </c>
      <c r="M12" s="243" t="s">
        <v>49</v>
      </c>
      <c r="N12" s="19">
        <f>IF((VLOOKUP(I12,'8Příloha_2_ceník_pravid_úklid'!$B$9:$I$30,8,0))=0,VLOOKUP(I12,'8Příloha_2_ceník_pravid_úklid'!$B$9:$K$30,10,0),VLOOKUP(I12,'8Příloha_2_ceník_pravid_úklid'!$B$9:$I$30,8,0))</f>
        <v>0</v>
      </c>
      <c r="O12" s="20">
        <v>1</v>
      </c>
      <c r="P12" s="20">
        <v>1</v>
      </c>
      <c r="Q12" s="20">
        <v>0</v>
      </c>
      <c r="R12" s="20">
        <v>0</v>
      </c>
      <c r="S12" s="21">
        <f>NETWORKDAYS.INTL(DATE(2018,1,1),DATE(2018,12,31),1,{"2018/1/1";"2018/3/30";"2018/4/2";"2018/5/1";"2018/5/8";"2018/7/5";"2018/7/6";"2018/09/28";"2018/11/17";"2018/12/24";"2018/12/25";"2018/12/26"})</f>
        <v>250</v>
      </c>
      <c r="T12" s="21">
        <f t="shared" si="0"/>
        <v>115</v>
      </c>
      <c r="U12" s="21">
        <f t="shared" si="1"/>
        <v>365</v>
      </c>
      <c r="V12" s="305">
        <f t="shared" si="2"/>
        <v>250</v>
      </c>
      <c r="W12" s="304">
        <f t="shared" si="3"/>
        <v>0</v>
      </c>
      <c r="X12" s="189">
        <f t="shared" si="4"/>
        <v>0</v>
      </c>
      <c r="Y12" s="189">
        <v>0</v>
      </c>
    </row>
    <row r="13" spans="1:25" x14ac:dyDescent="0.2">
      <c r="A13" s="138" t="s">
        <v>527</v>
      </c>
      <c r="B13" s="142" t="s">
        <v>54</v>
      </c>
      <c r="C13" s="142" t="s">
        <v>135</v>
      </c>
      <c r="D13" s="506" t="str">
        <f>VLOOKUP(C13,'Seznam HS - nemaš'!$A$1:$B$96,2,FALSE)</f>
        <v>401402</v>
      </c>
      <c r="E13" s="243">
        <v>108</v>
      </c>
      <c r="F13" s="244" t="s">
        <v>528</v>
      </c>
      <c r="G13" s="244"/>
      <c r="H13" s="30">
        <f>+IF(ISBLANK(I13),0,VLOOKUP(I13,'8Příloha_2_ceník_pravid_úklid'!$B$9:$C$30,2,0))</f>
        <v>2</v>
      </c>
      <c r="I13" s="246" t="s">
        <v>2</v>
      </c>
      <c r="J13" s="247">
        <v>23.7</v>
      </c>
      <c r="K13" s="243" t="s">
        <v>50</v>
      </c>
      <c r="L13" s="249" t="s">
        <v>21</v>
      </c>
      <c r="M13" s="243" t="s">
        <v>49</v>
      </c>
      <c r="N13" s="19">
        <f>IF((VLOOKUP(I13,'8Příloha_2_ceník_pravid_úklid'!$B$9:$I$30,8,0))=0,VLOOKUP(I13,'8Příloha_2_ceník_pravid_úklid'!$B$9:$K$30,10,0),VLOOKUP(I13,'8Příloha_2_ceník_pravid_úklid'!$B$9:$I$30,8,0))</f>
        <v>0</v>
      </c>
      <c r="O13" s="20">
        <v>1</v>
      </c>
      <c r="P13" s="20">
        <v>1</v>
      </c>
      <c r="Q13" s="20">
        <v>0</v>
      </c>
      <c r="R13" s="20">
        <v>0</v>
      </c>
      <c r="S13" s="21">
        <f>NETWORKDAYS.INTL(DATE(2018,1,1),DATE(2018,12,31),1,{"2018/1/1";"2018/3/30";"2018/4/2";"2018/5/1";"2018/5/8";"2018/7/5";"2018/7/6";"2018/09/28";"2018/11/17";"2018/12/24";"2018/12/25";"2018/12/26"})</f>
        <v>250</v>
      </c>
      <c r="T13" s="21">
        <f t="shared" si="0"/>
        <v>115</v>
      </c>
      <c r="U13" s="21">
        <f t="shared" si="1"/>
        <v>365</v>
      </c>
      <c r="V13" s="305">
        <f t="shared" si="2"/>
        <v>250</v>
      </c>
      <c r="W13" s="304">
        <f t="shared" si="3"/>
        <v>0</v>
      </c>
      <c r="X13" s="189">
        <f t="shared" si="4"/>
        <v>0</v>
      </c>
      <c r="Y13" s="189">
        <v>0</v>
      </c>
    </row>
    <row r="14" spans="1:25" x14ac:dyDescent="0.2">
      <c r="A14" s="138" t="s">
        <v>527</v>
      </c>
      <c r="B14" s="142" t="s">
        <v>54</v>
      </c>
      <c r="C14" s="142"/>
      <c r="D14" s="506">
        <f>VLOOKUP(C14,'Seznam HS - nemaš'!$A$1:$B$96,2,FALSE)</f>
        <v>0</v>
      </c>
      <c r="E14" s="243">
        <v>109</v>
      </c>
      <c r="F14" s="244" t="s">
        <v>437</v>
      </c>
      <c r="G14" s="244" t="s">
        <v>442</v>
      </c>
      <c r="H14" s="30">
        <f>+IF(ISBLANK(I14),0,VLOOKUP(I14,'8Příloha_2_ceník_pravid_úklid'!$B$9:$C$30,2,0))</f>
        <v>7</v>
      </c>
      <c r="I14" s="143" t="s">
        <v>14</v>
      </c>
      <c r="J14" s="145">
        <v>2.38</v>
      </c>
      <c r="K14" s="22" t="s">
        <v>50</v>
      </c>
      <c r="L14" s="156" t="s">
        <v>537</v>
      </c>
      <c r="M14" s="22" t="s">
        <v>49</v>
      </c>
      <c r="N14" s="19">
        <f>IF((VLOOKUP(I14,'8Příloha_2_ceník_pravid_úklid'!$B$9:$I$30,8,0))=0,VLOOKUP(I14,'8Příloha_2_ceník_pravid_úklid'!$B$9:$K$30,10,0),VLOOKUP(I14,'8Příloha_2_ceník_pravid_úklid'!$B$9:$I$30,8,0))</f>
        <v>0</v>
      </c>
      <c r="O14" s="20">
        <v>1</v>
      </c>
      <c r="P14" s="20">
        <v>1</v>
      </c>
      <c r="Q14" s="20">
        <v>1</v>
      </c>
      <c r="R14" s="20">
        <v>1</v>
      </c>
      <c r="S14" s="21">
        <f>NETWORKDAYS.INTL(DATE(2018,1,1),DATE(2018,12,31),1,{"2018/1/1";"2018/3/30";"2018/4/2";"2018/5/1";"2018/5/8";"2018/7/5";"2018/7/6";"2018/09/28";"2018/11/17";"2018/12/24";"2018/12/25";"2018/12/26"})</f>
        <v>250</v>
      </c>
      <c r="T14" s="21">
        <f t="shared" si="0"/>
        <v>115</v>
      </c>
      <c r="U14" s="21">
        <f t="shared" si="1"/>
        <v>365</v>
      </c>
      <c r="V14" s="305">
        <f t="shared" si="2"/>
        <v>365</v>
      </c>
      <c r="W14" s="304">
        <f t="shared" si="3"/>
        <v>0</v>
      </c>
      <c r="X14" s="189">
        <f t="shared" si="4"/>
        <v>0</v>
      </c>
      <c r="Y14" s="189">
        <v>0</v>
      </c>
    </row>
    <row r="15" spans="1:25" x14ac:dyDescent="0.2">
      <c r="A15" s="138" t="s">
        <v>527</v>
      </c>
      <c r="B15" s="142" t="s">
        <v>54</v>
      </c>
      <c r="C15" s="142"/>
      <c r="D15" s="506">
        <f>VLOOKUP(C15,'Seznam HS - nemaš'!$A$1:$B$96,2,FALSE)</f>
        <v>0</v>
      </c>
      <c r="E15" s="243">
        <v>110</v>
      </c>
      <c r="F15" s="244" t="s">
        <v>437</v>
      </c>
      <c r="G15" s="244" t="s">
        <v>444</v>
      </c>
      <c r="H15" s="30">
        <f>+IF(ISBLANK(I15),0,VLOOKUP(I15,'8Příloha_2_ceník_pravid_úklid'!$B$9:$C$30,2,0))</f>
        <v>7</v>
      </c>
      <c r="I15" s="143" t="s">
        <v>14</v>
      </c>
      <c r="J15" s="145">
        <v>2.5499999999999998</v>
      </c>
      <c r="K15" s="22" t="s">
        <v>50</v>
      </c>
      <c r="L15" s="156" t="s">
        <v>537</v>
      </c>
      <c r="M15" s="22" t="s">
        <v>49</v>
      </c>
      <c r="N15" s="19">
        <f>IF((VLOOKUP(I15,'8Příloha_2_ceník_pravid_úklid'!$B$9:$I$30,8,0))=0,VLOOKUP(I15,'8Příloha_2_ceník_pravid_úklid'!$B$9:$K$30,10,0),VLOOKUP(I15,'8Příloha_2_ceník_pravid_úklid'!$B$9:$I$30,8,0))</f>
        <v>0</v>
      </c>
      <c r="O15" s="20">
        <v>1</v>
      </c>
      <c r="P15" s="20">
        <v>1</v>
      </c>
      <c r="Q15" s="20">
        <v>1</v>
      </c>
      <c r="R15" s="20">
        <v>1</v>
      </c>
      <c r="S15" s="21">
        <f>NETWORKDAYS.INTL(DATE(2018,1,1),DATE(2018,12,31),1,{"2018/1/1";"2018/3/30";"2018/4/2";"2018/5/1";"2018/5/8";"2018/7/5";"2018/7/6";"2018/09/28";"2018/11/17";"2018/12/24";"2018/12/25";"2018/12/26"})</f>
        <v>250</v>
      </c>
      <c r="T15" s="21">
        <f t="shared" si="0"/>
        <v>115</v>
      </c>
      <c r="U15" s="21">
        <f t="shared" si="1"/>
        <v>365</v>
      </c>
      <c r="V15" s="305">
        <f t="shared" si="2"/>
        <v>365</v>
      </c>
      <c r="W15" s="304">
        <f t="shared" si="3"/>
        <v>0</v>
      </c>
      <c r="X15" s="189">
        <f t="shared" si="4"/>
        <v>0</v>
      </c>
      <c r="Y15" s="189">
        <v>0</v>
      </c>
    </row>
    <row r="16" spans="1:25" x14ac:dyDescent="0.2">
      <c r="A16" s="138" t="s">
        <v>527</v>
      </c>
      <c r="B16" s="142" t="s">
        <v>54</v>
      </c>
      <c r="C16" s="142"/>
      <c r="D16" s="506">
        <f>VLOOKUP(C16,'Seznam HS - nemaš'!$A$1:$B$96,2,FALSE)</f>
        <v>0</v>
      </c>
      <c r="E16" s="243">
        <v>111</v>
      </c>
      <c r="F16" s="244" t="s">
        <v>437</v>
      </c>
      <c r="G16" s="244" t="s">
        <v>540</v>
      </c>
      <c r="H16" s="30">
        <f>+IF(ISBLANK(I16),0,VLOOKUP(I16,'8Příloha_2_ceník_pravid_úklid'!$B$9:$C$30,2,0))</f>
        <v>7</v>
      </c>
      <c r="I16" s="143" t="s">
        <v>14</v>
      </c>
      <c r="J16" s="145">
        <v>0.72</v>
      </c>
      <c r="K16" s="22" t="s">
        <v>50</v>
      </c>
      <c r="L16" s="156" t="s">
        <v>537</v>
      </c>
      <c r="M16" s="22" t="s">
        <v>49</v>
      </c>
      <c r="N16" s="19">
        <f>IF((VLOOKUP(I16,'8Příloha_2_ceník_pravid_úklid'!$B$9:$I$30,8,0))=0,VLOOKUP(I16,'8Příloha_2_ceník_pravid_úklid'!$B$9:$K$30,10,0),VLOOKUP(I16,'8Příloha_2_ceník_pravid_úklid'!$B$9:$I$30,8,0))</f>
        <v>0</v>
      </c>
      <c r="O16" s="20">
        <v>1</v>
      </c>
      <c r="P16" s="20">
        <v>1</v>
      </c>
      <c r="Q16" s="20">
        <v>1</v>
      </c>
      <c r="R16" s="20">
        <v>1</v>
      </c>
      <c r="S16" s="21">
        <f>NETWORKDAYS.INTL(DATE(2018,1,1),DATE(2018,12,31),1,{"2018/1/1";"2018/3/30";"2018/4/2";"2018/5/1";"2018/5/8";"2018/7/5";"2018/7/6";"2018/09/28";"2018/11/17";"2018/12/24";"2018/12/25";"2018/12/26"})</f>
        <v>250</v>
      </c>
      <c r="T16" s="21">
        <f t="shared" si="0"/>
        <v>115</v>
      </c>
      <c r="U16" s="21">
        <f t="shared" si="1"/>
        <v>365</v>
      </c>
      <c r="V16" s="305">
        <f t="shared" si="2"/>
        <v>365</v>
      </c>
      <c r="W16" s="304">
        <f t="shared" si="3"/>
        <v>0</v>
      </c>
      <c r="X16" s="189">
        <f t="shared" si="4"/>
        <v>0</v>
      </c>
      <c r="Y16" s="189">
        <v>0</v>
      </c>
    </row>
    <row r="17" spans="1:25" x14ac:dyDescent="0.2">
      <c r="A17" s="138" t="s">
        <v>527</v>
      </c>
      <c r="B17" s="142" t="s">
        <v>54</v>
      </c>
      <c r="C17" s="142"/>
      <c r="D17" s="506">
        <f>VLOOKUP(C17,'Seznam HS - nemaš'!$A$1:$B$96,2,FALSE)</f>
        <v>0</v>
      </c>
      <c r="E17" s="243">
        <v>112</v>
      </c>
      <c r="F17" s="244" t="s">
        <v>437</v>
      </c>
      <c r="G17" s="244" t="s">
        <v>539</v>
      </c>
      <c r="H17" s="30">
        <f>+IF(ISBLANK(I17),0,VLOOKUP(I17,'8Příloha_2_ceník_pravid_úklid'!$B$9:$C$30,2,0))</f>
        <v>7</v>
      </c>
      <c r="I17" s="143" t="s">
        <v>14</v>
      </c>
      <c r="J17" s="145">
        <v>0.72</v>
      </c>
      <c r="K17" s="22" t="s">
        <v>50</v>
      </c>
      <c r="L17" s="156" t="s">
        <v>537</v>
      </c>
      <c r="M17" s="22" t="s">
        <v>49</v>
      </c>
      <c r="N17" s="19">
        <f>IF((VLOOKUP(I17,'8Příloha_2_ceník_pravid_úklid'!$B$9:$I$30,8,0))=0,VLOOKUP(I17,'8Příloha_2_ceník_pravid_úklid'!$B$9:$K$30,10,0),VLOOKUP(I17,'8Příloha_2_ceník_pravid_úklid'!$B$9:$I$30,8,0))</f>
        <v>0</v>
      </c>
      <c r="O17" s="20">
        <v>1</v>
      </c>
      <c r="P17" s="20">
        <v>1</v>
      </c>
      <c r="Q17" s="20">
        <v>1</v>
      </c>
      <c r="R17" s="20">
        <v>1</v>
      </c>
      <c r="S17" s="21">
        <f>NETWORKDAYS.INTL(DATE(2018,1,1),DATE(2018,12,31),1,{"2018/1/1";"2018/3/30";"2018/4/2";"2018/5/1";"2018/5/8";"2018/7/5";"2018/7/6";"2018/09/28";"2018/11/17";"2018/12/24";"2018/12/25";"2018/12/26"})</f>
        <v>250</v>
      </c>
      <c r="T17" s="21">
        <f t="shared" si="0"/>
        <v>115</v>
      </c>
      <c r="U17" s="21">
        <f t="shared" si="1"/>
        <v>365</v>
      </c>
      <c r="V17" s="305">
        <f t="shared" si="2"/>
        <v>365</v>
      </c>
      <c r="W17" s="304">
        <f t="shared" si="3"/>
        <v>0</v>
      </c>
      <c r="X17" s="189">
        <f t="shared" si="4"/>
        <v>0</v>
      </c>
      <c r="Y17" s="189">
        <v>0</v>
      </c>
    </row>
    <row r="18" spans="1:25" x14ac:dyDescent="0.2">
      <c r="A18" s="235" t="s">
        <v>527</v>
      </c>
      <c r="B18" s="236" t="s">
        <v>54</v>
      </c>
      <c r="C18" s="236"/>
      <c r="D18" s="564">
        <f>VLOOKUP(C18,'Seznam HS - nemaš'!$A$1:$B$96,2,FALSE)</f>
        <v>0</v>
      </c>
      <c r="E18" s="237">
        <v>113</v>
      </c>
      <c r="F18" s="238" t="s">
        <v>541</v>
      </c>
      <c r="G18" s="238" t="s">
        <v>542</v>
      </c>
      <c r="H18" s="30">
        <f>+IF(ISBLANK(I18),0,VLOOKUP(I18,'8Příloha_2_ceník_pravid_úklid'!$B$9:$C$30,2,0))</f>
        <v>17</v>
      </c>
      <c r="I18" s="273" t="s">
        <v>13</v>
      </c>
      <c r="J18" s="241">
        <v>3.4</v>
      </c>
      <c r="K18" s="237" t="s">
        <v>64</v>
      </c>
      <c r="L18" s="242" t="s">
        <v>387</v>
      </c>
      <c r="M18" s="237" t="s">
        <v>49</v>
      </c>
      <c r="N18" s="229" t="s">
        <v>501</v>
      </c>
      <c r="O18" s="230">
        <v>0</v>
      </c>
      <c r="P18" s="230">
        <v>0</v>
      </c>
      <c r="Q18" s="230">
        <v>0</v>
      </c>
      <c r="R18" s="230">
        <v>0</v>
      </c>
      <c r="S18" s="231">
        <f>NETWORKDAYS.INTL(DATE(2018,1,1),DATE(2018,12,31),1,{"2018/1/1";"2018/3/30";"2018/4/2";"2018/5/1";"2018/5/8";"2018/7/5";"2018/7/6";"2018/09/28";"2018/11/17";"2018/12/24";"2018/12/25";"2018/12/26"})</f>
        <v>250</v>
      </c>
      <c r="T18" s="231">
        <f t="shared" si="0"/>
        <v>115</v>
      </c>
      <c r="U18" s="231">
        <f t="shared" si="1"/>
        <v>365</v>
      </c>
      <c r="V18" s="306">
        <f t="shared" si="2"/>
        <v>0</v>
      </c>
      <c r="W18" s="307">
        <f t="shared" si="3"/>
        <v>0</v>
      </c>
      <c r="X18" s="576">
        <f t="shared" si="4"/>
        <v>0</v>
      </c>
      <c r="Y18" s="576">
        <f t="shared" si="4"/>
        <v>0</v>
      </c>
    </row>
    <row r="19" spans="1:25" x14ac:dyDescent="0.2">
      <c r="A19" s="138" t="s">
        <v>527</v>
      </c>
      <c r="B19" s="142" t="s">
        <v>54</v>
      </c>
      <c r="C19" s="142" t="s">
        <v>131</v>
      </c>
      <c r="D19" s="506" t="str">
        <f>VLOOKUP(C19,'Seznam HS - nemaš'!$A$1:$B$96,2,FALSE)</f>
        <v>401400</v>
      </c>
      <c r="E19" s="243">
        <v>114</v>
      </c>
      <c r="F19" s="244" t="s">
        <v>543</v>
      </c>
      <c r="G19" s="244"/>
      <c r="H19" s="30">
        <f>+IF(ISBLANK(I19),0,VLOOKUP(I19,'8Příloha_2_ceník_pravid_úklid'!$B$9:$C$30,2,0))</f>
        <v>2</v>
      </c>
      <c r="I19" s="143" t="s">
        <v>2</v>
      </c>
      <c r="J19" s="145">
        <v>22.94</v>
      </c>
      <c r="K19" s="22" t="s">
        <v>51</v>
      </c>
      <c r="L19" s="156" t="s">
        <v>537</v>
      </c>
      <c r="M19" s="22" t="s">
        <v>49</v>
      </c>
      <c r="N19" s="19">
        <f>IF((VLOOKUP(I19,'8Příloha_2_ceník_pravid_úklid'!$B$9:$I$30,8,0))=0,VLOOKUP(I19,'8Příloha_2_ceník_pravid_úklid'!$B$9:$K$30,10,0),VLOOKUP(I19,'8Příloha_2_ceník_pravid_úklid'!$B$9:$I$30,8,0))</f>
        <v>0</v>
      </c>
      <c r="O19" s="20">
        <v>1</v>
      </c>
      <c r="P19" s="20">
        <v>1</v>
      </c>
      <c r="Q19" s="20">
        <v>1</v>
      </c>
      <c r="R19" s="20">
        <v>1</v>
      </c>
      <c r="S19" s="21">
        <f>NETWORKDAYS.INTL(DATE(2018,1,1),DATE(2018,12,31),1,{"2018/1/1";"2018/3/30";"2018/4/2";"2018/5/1";"2018/5/8";"2018/7/5";"2018/7/6";"2018/09/28";"2018/11/17";"2018/12/24";"2018/12/25";"2018/12/26"})</f>
        <v>250</v>
      </c>
      <c r="T19" s="21">
        <f t="shared" si="0"/>
        <v>115</v>
      </c>
      <c r="U19" s="21">
        <f t="shared" si="1"/>
        <v>365</v>
      </c>
      <c r="V19" s="305">
        <f t="shared" si="2"/>
        <v>365</v>
      </c>
      <c r="W19" s="304">
        <f t="shared" si="3"/>
        <v>0</v>
      </c>
      <c r="X19" s="189">
        <f t="shared" si="4"/>
        <v>0</v>
      </c>
      <c r="Y19" s="189">
        <v>0</v>
      </c>
    </row>
    <row r="20" spans="1:25" x14ac:dyDescent="0.2">
      <c r="A20" s="138" t="s">
        <v>527</v>
      </c>
      <c r="B20" s="142" t="s">
        <v>54</v>
      </c>
      <c r="C20" s="142" t="s">
        <v>137</v>
      </c>
      <c r="D20" s="506" t="str">
        <f>VLOOKUP(C20,'Seznam HS - nemaš'!$A$1:$B$96,2,FALSE)</f>
        <v>401403</v>
      </c>
      <c r="E20" s="243">
        <v>115</v>
      </c>
      <c r="F20" s="244" t="s">
        <v>428</v>
      </c>
      <c r="G20" s="244" t="s">
        <v>546</v>
      </c>
      <c r="H20" s="30">
        <f>+IF(ISBLANK(I20),0,VLOOKUP(I20,'8Příloha_2_ceník_pravid_úklid'!$B$9:$C$30,2,0))</f>
        <v>2</v>
      </c>
      <c r="I20" s="143" t="s">
        <v>2</v>
      </c>
      <c r="J20" s="145">
        <v>6.86</v>
      </c>
      <c r="K20" s="22" t="s">
        <v>536</v>
      </c>
      <c r="L20" s="156" t="s">
        <v>21</v>
      </c>
      <c r="M20" s="22" t="s">
        <v>49</v>
      </c>
      <c r="N20" s="19">
        <f>IF((VLOOKUP(I20,'8Příloha_2_ceník_pravid_úklid'!$B$9:$I$30,8,0))=0,VLOOKUP(I20,'8Příloha_2_ceník_pravid_úklid'!$B$9:$K$30,10,0),VLOOKUP(I20,'8Příloha_2_ceník_pravid_úklid'!$B$9:$I$30,8,0))</f>
        <v>0</v>
      </c>
      <c r="O20" s="20">
        <v>1</v>
      </c>
      <c r="P20" s="20">
        <v>1</v>
      </c>
      <c r="Q20" s="20">
        <v>0</v>
      </c>
      <c r="R20" s="20">
        <v>0</v>
      </c>
      <c r="S20" s="21">
        <f>NETWORKDAYS.INTL(DATE(2018,1,1),DATE(2018,12,31),1,{"2018/1/1";"2018/3/30";"2018/4/2";"2018/5/1";"2018/5/8";"2018/7/5";"2018/7/6";"2018/09/28";"2018/11/17";"2018/12/24";"2018/12/25";"2018/12/26"})</f>
        <v>250</v>
      </c>
      <c r="T20" s="21">
        <f t="shared" si="0"/>
        <v>115</v>
      </c>
      <c r="U20" s="21">
        <f t="shared" si="1"/>
        <v>365</v>
      </c>
      <c r="V20" s="305">
        <f t="shared" si="2"/>
        <v>250</v>
      </c>
      <c r="W20" s="308">
        <f t="shared" si="3"/>
        <v>0</v>
      </c>
      <c r="X20" s="577">
        <f t="shared" si="4"/>
        <v>0</v>
      </c>
      <c r="Y20" s="189">
        <v>0</v>
      </c>
    </row>
    <row r="21" spans="1:25" x14ac:dyDescent="0.2">
      <c r="A21" s="138" t="s">
        <v>527</v>
      </c>
      <c r="B21" s="142" t="s">
        <v>54</v>
      </c>
      <c r="C21" s="142" t="s">
        <v>137</v>
      </c>
      <c r="D21" s="506" t="str">
        <f>VLOOKUP(C21,'Seznam HS - nemaš'!$A$1:$B$96,2,FALSE)</f>
        <v>401403</v>
      </c>
      <c r="E21" s="243" t="s">
        <v>1729</v>
      </c>
      <c r="F21" s="244" t="s">
        <v>389</v>
      </c>
      <c r="G21" s="244" t="s">
        <v>545</v>
      </c>
      <c r="H21" s="30">
        <f>+IF(ISBLANK(I21),0,VLOOKUP(I21,'8Příloha_2_ceník_pravid_úklid'!$B$9:$C$30,2,0))</f>
        <v>2</v>
      </c>
      <c r="I21" s="143" t="s">
        <v>2</v>
      </c>
      <c r="J21" s="145">
        <v>2.65</v>
      </c>
      <c r="K21" s="22" t="s">
        <v>51</v>
      </c>
      <c r="L21" s="156" t="s">
        <v>21</v>
      </c>
      <c r="M21" s="22" t="s">
        <v>49</v>
      </c>
      <c r="N21" s="19">
        <f>IF((VLOOKUP(I21,'8Příloha_2_ceník_pravid_úklid'!$B$9:$I$30,8,0))=0,VLOOKUP(I21,'8Příloha_2_ceník_pravid_úklid'!$B$9:$K$30,10,0),VLOOKUP(I21,'8Příloha_2_ceník_pravid_úklid'!$B$9:$I$30,8,0))</f>
        <v>0</v>
      </c>
      <c r="O21" s="20">
        <v>1</v>
      </c>
      <c r="P21" s="20">
        <v>1</v>
      </c>
      <c r="Q21" s="20">
        <v>0</v>
      </c>
      <c r="R21" s="20">
        <v>0</v>
      </c>
      <c r="S21" s="21">
        <f>NETWORKDAYS.INTL(DATE(2018,1,1),DATE(2018,12,31),1,{"2018/1/1";"2018/3/30";"2018/4/2";"2018/5/1";"2018/5/8";"2018/7/5";"2018/7/6";"2018/09/28";"2018/11/17";"2018/12/24";"2018/12/25";"2018/12/26"})</f>
        <v>250</v>
      </c>
      <c r="T21" s="21">
        <f t="shared" si="0"/>
        <v>115</v>
      </c>
      <c r="U21" s="21">
        <f t="shared" si="1"/>
        <v>365</v>
      </c>
      <c r="V21" s="305">
        <f t="shared" si="2"/>
        <v>250</v>
      </c>
      <c r="W21" s="308">
        <f t="shared" si="3"/>
        <v>0</v>
      </c>
      <c r="X21" s="577">
        <f t="shared" si="4"/>
        <v>0</v>
      </c>
      <c r="Y21" s="189">
        <v>0</v>
      </c>
    </row>
    <row r="22" spans="1:25" x14ac:dyDescent="0.2">
      <c r="A22" s="235" t="s">
        <v>527</v>
      </c>
      <c r="B22" s="236" t="s">
        <v>54</v>
      </c>
      <c r="C22" s="236"/>
      <c r="D22" s="564">
        <f>VLOOKUP(C22,'Seznam HS - nemaš'!$A$1:$B$96,2,FALSE)</f>
        <v>0</v>
      </c>
      <c r="E22" s="237">
        <v>116</v>
      </c>
      <c r="F22" s="238" t="s">
        <v>507</v>
      </c>
      <c r="G22" s="238"/>
      <c r="H22" s="303">
        <f>+IF(ISBLANK(I22),0,VLOOKUP(I22,'8Příloha_2_ceník_pravid_úklid'!$B$9:$C$30,2,0))</f>
        <v>11</v>
      </c>
      <c r="I22" s="273" t="s">
        <v>7</v>
      </c>
      <c r="J22" s="241">
        <f>1.6*2.3</f>
        <v>3.6799999999999997</v>
      </c>
      <c r="K22" s="237" t="s">
        <v>51</v>
      </c>
      <c r="L22" s="310" t="s">
        <v>537</v>
      </c>
      <c r="M22" s="237" t="s">
        <v>49</v>
      </c>
      <c r="N22" s="229" t="s">
        <v>501</v>
      </c>
      <c r="O22" s="230">
        <v>1</v>
      </c>
      <c r="P22" s="230">
        <v>1</v>
      </c>
      <c r="Q22" s="230">
        <v>1</v>
      </c>
      <c r="R22" s="230">
        <v>1</v>
      </c>
      <c r="S22" s="231">
        <f>NETWORKDAYS.INTL(DATE(2018,1,1),DATE(2018,12,31),1,{"2018/1/1";"2018/3/30";"2018/4/2";"2018/5/1";"2018/5/8";"2018/7/5";"2018/7/6";"2018/09/28";"2018/11/17";"2018/12/24";"2018/12/25";"2018/12/26"})</f>
        <v>250</v>
      </c>
      <c r="T22" s="231">
        <f t="shared" si="0"/>
        <v>115</v>
      </c>
      <c r="U22" s="231">
        <f t="shared" si="1"/>
        <v>365</v>
      </c>
      <c r="V22" s="306">
        <f t="shared" si="2"/>
        <v>365</v>
      </c>
      <c r="W22" s="307">
        <f t="shared" si="3"/>
        <v>0</v>
      </c>
      <c r="X22" s="576">
        <f t="shared" si="4"/>
        <v>0</v>
      </c>
      <c r="Y22" s="576">
        <f t="shared" si="4"/>
        <v>0</v>
      </c>
    </row>
    <row r="23" spans="1:25" x14ac:dyDescent="0.2">
      <c r="A23" s="276" t="s">
        <v>527</v>
      </c>
      <c r="B23" s="23" t="s">
        <v>54</v>
      </c>
      <c r="C23" s="23"/>
      <c r="D23" s="567">
        <f>VLOOKUP(C23,'Seznam HS - nemaš'!$A$1:$B$96,2,FALSE)</f>
        <v>0</v>
      </c>
      <c r="E23" s="22">
        <v>117</v>
      </c>
      <c r="F23" s="154" t="s">
        <v>507</v>
      </c>
      <c r="G23" s="154" t="s">
        <v>547</v>
      </c>
      <c r="H23" s="30">
        <f>+IF(ISBLANK(I23),0,VLOOKUP(I23,'8Příloha_2_ceník_pravid_úklid'!$B$9:$C$30,2,0))</f>
        <v>6</v>
      </c>
      <c r="I23" s="143" t="s">
        <v>1</v>
      </c>
      <c r="J23" s="145">
        <v>7.77</v>
      </c>
      <c r="K23" s="22" t="s">
        <v>50</v>
      </c>
      <c r="L23" s="156" t="s">
        <v>21</v>
      </c>
      <c r="M23" s="22" t="s">
        <v>49</v>
      </c>
      <c r="N23" s="19">
        <f>IF((VLOOKUP(I23,'8Příloha_2_ceník_pravid_úklid'!$B$9:$I$30,8,0))=0,VLOOKUP(I23,'8Příloha_2_ceník_pravid_úklid'!$B$9:$K$30,10,0),VLOOKUP(I23,'8Příloha_2_ceník_pravid_úklid'!$B$9:$I$30,8,0))</f>
        <v>0</v>
      </c>
      <c r="O23" s="20">
        <v>1</v>
      </c>
      <c r="P23" s="20">
        <v>1</v>
      </c>
      <c r="Q23" s="20">
        <v>0</v>
      </c>
      <c r="R23" s="20">
        <v>0</v>
      </c>
      <c r="S23" s="21">
        <f>NETWORKDAYS.INTL(DATE(2018,1,1),DATE(2018,12,31),1,{"2018/1/1";"2018/3/30";"2018/4/2";"2018/5/1";"2018/5/8";"2018/7/5";"2018/7/6";"2018/09/28";"2018/11/17";"2018/12/24";"2018/12/25";"2018/12/26"})</f>
        <v>250</v>
      </c>
      <c r="T23" s="21">
        <f t="shared" si="0"/>
        <v>115</v>
      </c>
      <c r="U23" s="21">
        <f t="shared" si="1"/>
        <v>365</v>
      </c>
      <c r="V23" s="88">
        <f t="shared" si="2"/>
        <v>250</v>
      </c>
      <c r="W23" s="551">
        <f t="shared" si="3"/>
        <v>0</v>
      </c>
      <c r="X23" s="578">
        <f t="shared" si="4"/>
        <v>0</v>
      </c>
      <c r="Y23" s="189">
        <v>0</v>
      </c>
    </row>
    <row r="24" spans="1:25" x14ac:dyDescent="0.2">
      <c r="A24" s="138" t="s">
        <v>527</v>
      </c>
      <c r="B24" s="142" t="s">
        <v>54</v>
      </c>
      <c r="C24" s="142" t="s">
        <v>131</v>
      </c>
      <c r="D24" s="506" t="str">
        <f>VLOOKUP(C24,'Seznam HS - nemaš'!$A$1:$B$96,2,FALSE)</f>
        <v>401400</v>
      </c>
      <c r="E24" s="243">
        <v>118</v>
      </c>
      <c r="F24" s="244" t="s">
        <v>548</v>
      </c>
      <c r="G24" s="244"/>
      <c r="H24" s="30">
        <f>+IF(ISBLANK(I24),0,VLOOKUP(I24,'8Příloha_2_ceník_pravid_úklid'!$B$9:$C$30,2,0))</f>
        <v>4</v>
      </c>
      <c r="I24" s="143" t="s">
        <v>9</v>
      </c>
      <c r="J24" s="145">
        <v>13.81</v>
      </c>
      <c r="K24" s="22" t="s">
        <v>64</v>
      </c>
      <c r="L24" s="156" t="s">
        <v>21</v>
      </c>
      <c r="M24" s="22" t="s">
        <v>49</v>
      </c>
      <c r="N24" s="19">
        <f>IF((VLOOKUP(I24,'8Příloha_2_ceník_pravid_úklid'!$B$9:$I$30,8,0))=0,VLOOKUP(I24,'8Příloha_2_ceník_pravid_úklid'!$B$9:$K$30,10,0),VLOOKUP(I24,'8Příloha_2_ceník_pravid_úklid'!$B$9:$I$30,8,0))</f>
        <v>0</v>
      </c>
      <c r="O24" s="20">
        <v>1</v>
      </c>
      <c r="P24" s="20">
        <v>1</v>
      </c>
      <c r="Q24" s="20">
        <v>0</v>
      </c>
      <c r="R24" s="20">
        <v>0</v>
      </c>
      <c r="S24" s="21">
        <f>NETWORKDAYS.INTL(DATE(2018,1,1),DATE(2018,12,31),1,{"2018/1/1";"2018/3/30";"2018/4/2";"2018/5/1";"2018/5/8";"2018/7/5";"2018/7/6";"2018/09/28";"2018/11/17";"2018/12/24";"2018/12/25";"2018/12/26"})</f>
        <v>250</v>
      </c>
      <c r="T24" s="21">
        <f t="shared" si="0"/>
        <v>115</v>
      </c>
      <c r="U24" s="21">
        <f t="shared" si="1"/>
        <v>365</v>
      </c>
      <c r="V24" s="305">
        <f t="shared" si="2"/>
        <v>250</v>
      </c>
      <c r="W24" s="308">
        <f t="shared" si="3"/>
        <v>0</v>
      </c>
      <c r="X24" s="577">
        <f t="shared" si="4"/>
        <v>0</v>
      </c>
      <c r="Y24" s="189">
        <v>0</v>
      </c>
    </row>
    <row r="25" spans="1:25" x14ac:dyDescent="0.2">
      <c r="A25" s="138" t="s">
        <v>527</v>
      </c>
      <c r="B25" s="142" t="s">
        <v>54</v>
      </c>
      <c r="C25" s="142"/>
      <c r="D25" s="506">
        <f>VLOOKUP(C25,'Seznam HS - nemaš'!$A$1:$B$96,2,FALSE)</f>
        <v>0</v>
      </c>
      <c r="E25" s="243">
        <v>119</v>
      </c>
      <c r="F25" s="244" t="s">
        <v>494</v>
      </c>
      <c r="G25" s="244" t="s">
        <v>428</v>
      </c>
      <c r="H25" s="30">
        <f>+IF(ISBLANK(I25),0,VLOOKUP(I25,'8Příloha_2_ceník_pravid_úklid'!$B$9:$C$30,2,0))</f>
        <v>10</v>
      </c>
      <c r="I25" s="143" t="s">
        <v>0</v>
      </c>
      <c r="J25" s="145">
        <v>7.42</v>
      </c>
      <c r="K25" s="22" t="s">
        <v>51</v>
      </c>
      <c r="L25" s="156" t="s">
        <v>21</v>
      </c>
      <c r="M25" s="22" t="s">
        <v>49</v>
      </c>
      <c r="N25" s="19">
        <f>IF((VLOOKUP(I25,'8Příloha_2_ceník_pravid_úklid'!$B$9:$I$30,8,0))=0,VLOOKUP(I25,'8Příloha_2_ceník_pravid_úklid'!$B$9:$K$30,10,0),VLOOKUP(I25,'8Příloha_2_ceník_pravid_úklid'!$B$9:$I$30,8,0))</f>
        <v>0</v>
      </c>
      <c r="O25" s="20">
        <v>1</v>
      </c>
      <c r="P25" s="20">
        <v>1</v>
      </c>
      <c r="Q25" s="20">
        <v>0</v>
      </c>
      <c r="R25" s="20">
        <v>0</v>
      </c>
      <c r="S25" s="21">
        <f>NETWORKDAYS.INTL(DATE(2018,1,1),DATE(2018,12,31),1,{"2018/1/1";"2018/3/30";"2018/4/2";"2018/5/1";"2018/5/8";"2018/7/5";"2018/7/6";"2018/09/28";"2018/11/17";"2018/12/24";"2018/12/25";"2018/12/26"})</f>
        <v>250</v>
      </c>
      <c r="T25" s="21">
        <f t="shared" si="0"/>
        <v>115</v>
      </c>
      <c r="U25" s="21">
        <f t="shared" si="1"/>
        <v>365</v>
      </c>
      <c r="V25" s="305">
        <f t="shared" si="2"/>
        <v>250</v>
      </c>
      <c r="W25" s="308">
        <f t="shared" si="3"/>
        <v>0</v>
      </c>
      <c r="X25" s="577">
        <f t="shared" si="4"/>
        <v>0</v>
      </c>
      <c r="Y25" s="189">
        <v>0</v>
      </c>
    </row>
    <row r="26" spans="1:25" x14ac:dyDescent="0.2">
      <c r="A26" s="235" t="s">
        <v>527</v>
      </c>
      <c r="B26" s="236" t="s">
        <v>54</v>
      </c>
      <c r="C26" s="236"/>
      <c r="D26" s="564">
        <f>VLOOKUP(C26,'Seznam HS - nemaš'!$A$1:$B$96,2,FALSE)</f>
        <v>0</v>
      </c>
      <c r="E26" s="237">
        <v>120</v>
      </c>
      <c r="F26" s="238" t="s">
        <v>549</v>
      </c>
      <c r="G26" s="238" t="s">
        <v>550</v>
      </c>
      <c r="H26" s="303">
        <f>+IF(ISBLANK(I26),0,VLOOKUP(I26,'8Příloha_2_ceník_pravid_úklid'!$B$9:$C$30,2,0))</f>
        <v>6</v>
      </c>
      <c r="I26" s="273" t="s">
        <v>1</v>
      </c>
      <c r="J26" s="241">
        <v>2.8</v>
      </c>
      <c r="K26" s="237" t="s">
        <v>51</v>
      </c>
      <c r="L26" s="242" t="s">
        <v>387</v>
      </c>
      <c r="M26" s="237" t="s">
        <v>49</v>
      </c>
      <c r="N26" s="229" t="s">
        <v>501</v>
      </c>
      <c r="O26" s="230">
        <v>0</v>
      </c>
      <c r="P26" s="230">
        <v>0</v>
      </c>
      <c r="Q26" s="230">
        <v>0</v>
      </c>
      <c r="R26" s="230">
        <v>0</v>
      </c>
      <c r="S26" s="231">
        <f>NETWORKDAYS.INTL(DATE(2018,1,1),DATE(2018,12,31),1,{"2018/1/1";"2018/3/30";"2018/4/2";"2018/5/1";"2018/5/8";"2018/7/5";"2018/7/6";"2018/09/28";"2018/11/17";"2018/12/24";"2018/12/25";"2018/12/26"})</f>
        <v>250</v>
      </c>
      <c r="T26" s="231">
        <f t="shared" si="0"/>
        <v>115</v>
      </c>
      <c r="U26" s="231">
        <f t="shared" si="1"/>
        <v>365</v>
      </c>
      <c r="V26" s="306">
        <f t="shared" si="2"/>
        <v>0</v>
      </c>
      <c r="W26" s="309">
        <f t="shared" si="3"/>
        <v>0</v>
      </c>
      <c r="X26" s="579">
        <f t="shared" si="4"/>
        <v>0</v>
      </c>
      <c r="Y26" s="579">
        <f t="shared" si="4"/>
        <v>0</v>
      </c>
    </row>
    <row r="27" spans="1:25" x14ac:dyDescent="0.2">
      <c r="A27" s="235" t="s">
        <v>527</v>
      </c>
      <c r="B27" s="236" t="s">
        <v>54</v>
      </c>
      <c r="C27" s="236"/>
      <c r="D27" s="564">
        <f>VLOOKUP(C27,'Seznam HS - nemaš'!$A$1:$B$96,2,FALSE)</f>
        <v>0</v>
      </c>
      <c r="E27" s="237">
        <v>121</v>
      </c>
      <c r="F27" s="238" t="s">
        <v>549</v>
      </c>
      <c r="G27" s="238" t="s">
        <v>551</v>
      </c>
      <c r="H27" s="303">
        <f>+IF(ISBLANK(I27),0,VLOOKUP(I27,'8Příloha_2_ceník_pravid_úklid'!$B$9:$C$30,2,0))</f>
        <v>6</v>
      </c>
      <c r="I27" s="273" t="s">
        <v>1</v>
      </c>
      <c r="J27" s="241">
        <v>1.95</v>
      </c>
      <c r="K27" s="237" t="s">
        <v>51</v>
      </c>
      <c r="L27" s="242" t="s">
        <v>387</v>
      </c>
      <c r="M27" s="237" t="s">
        <v>49</v>
      </c>
      <c r="N27" s="229" t="s">
        <v>501</v>
      </c>
      <c r="O27" s="230">
        <v>0</v>
      </c>
      <c r="P27" s="230">
        <v>0</v>
      </c>
      <c r="Q27" s="230">
        <v>0</v>
      </c>
      <c r="R27" s="230">
        <v>0</v>
      </c>
      <c r="S27" s="231">
        <f>NETWORKDAYS.INTL(DATE(2018,1,1),DATE(2018,12,31),1,{"2018/1/1";"2018/3/30";"2018/4/2";"2018/5/1";"2018/5/8";"2018/7/5";"2018/7/6";"2018/09/28";"2018/11/17";"2018/12/24";"2018/12/25";"2018/12/26"})</f>
        <v>250</v>
      </c>
      <c r="T27" s="231">
        <f t="shared" si="0"/>
        <v>115</v>
      </c>
      <c r="U27" s="231">
        <f t="shared" si="1"/>
        <v>365</v>
      </c>
      <c r="V27" s="503">
        <f t="shared" si="2"/>
        <v>0</v>
      </c>
      <c r="W27" s="309">
        <f t="shared" si="3"/>
        <v>0</v>
      </c>
      <c r="X27" s="579">
        <f t="shared" si="4"/>
        <v>0</v>
      </c>
      <c r="Y27" s="579">
        <f t="shared" si="4"/>
        <v>0</v>
      </c>
    </row>
    <row r="28" spans="1:25" ht="22.5" x14ac:dyDescent="0.2">
      <c r="A28" s="553" t="s">
        <v>67</v>
      </c>
      <c r="B28" s="554" t="s">
        <v>54</v>
      </c>
      <c r="C28" s="554" t="s">
        <v>67</v>
      </c>
      <c r="D28" s="568" t="str">
        <f>VLOOKUP(C28,'Seznam HS - nemaš'!$A$1:$B$96,2,FALSE)</f>
        <v>401200</v>
      </c>
      <c r="E28" s="568">
        <v>100</v>
      </c>
      <c r="F28" s="556" t="s">
        <v>579</v>
      </c>
      <c r="G28" s="361" t="s">
        <v>580</v>
      </c>
      <c r="H28" s="569">
        <f>+IF(ISBLANK(I28),0,VLOOKUP(I28,'8Příloha_2_ceník_pravid_úklid'!$B$9:$C$30,2,0))</f>
        <v>22</v>
      </c>
      <c r="I28" s="557" t="s">
        <v>15</v>
      </c>
      <c r="J28" s="558">
        <f>1*9</f>
        <v>9</v>
      </c>
      <c r="K28" s="555"/>
      <c r="L28" s="559" t="s">
        <v>537</v>
      </c>
      <c r="M28" s="555"/>
      <c r="N28" s="366">
        <f>IF((VLOOKUP(I28,'8Příloha_2_ceník_pravid_úklid'!$B$9:$I$30,8,0))=0,VLOOKUP(I28,'8Příloha_2_ceník_pravid_úklid'!$B$9:$K$30,10,0),VLOOKUP(I28,'8Příloha_2_ceník_pravid_úklid'!$B$9:$I$30,8,0))</f>
        <v>0</v>
      </c>
      <c r="O28" s="560">
        <v>1</v>
      </c>
      <c r="P28" s="560">
        <v>1</v>
      </c>
      <c r="Q28" s="560">
        <v>1</v>
      </c>
      <c r="R28" s="560">
        <v>1</v>
      </c>
      <c r="S28" s="368">
        <f>NETWORKDAYS.INTL(DATE(2018,1,1),DATE(2018,12,31),1,{"2018/1/1";"2018/3/30";"2018/4/2";"2018/5/1";"2018/5/8";"2018/7/5";"2018/7/6";"2018/09/28";"2018/11/17";"2018/12/24";"2018/12/25";"2018/12/26"})</f>
        <v>250</v>
      </c>
      <c r="T28" s="368">
        <f t="shared" si="0"/>
        <v>115</v>
      </c>
      <c r="U28" s="368">
        <f t="shared" si="1"/>
        <v>365</v>
      </c>
      <c r="V28" s="561">
        <f t="shared" si="2"/>
        <v>365</v>
      </c>
      <c r="W28" s="562">
        <f t="shared" si="3"/>
        <v>0</v>
      </c>
      <c r="X28" s="580">
        <f t="shared" si="4"/>
        <v>0</v>
      </c>
      <c r="Y28" s="586">
        <v>0</v>
      </c>
    </row>
    <row r="29" spans="1:25" x14ac:dyDescent="0.2">
      <c r="A29" s="235" t="s">
        <v>67</v>
      </c>
      <c r="B29" s="236" t="s">
        <v>54</v>
      </c>
      <c r="C29" s="236" t="s">
        <v>67</v>
      </c>
      <c r="D29" s="564" t="str">
        <f>VLOOKUP(C29,'Seznam HS - nemaš'!$A$1:$B$96,2,FALSE)</f>
        <v>401200</v>
      </c>
      <c r="E29" s="237">
        <v>122</v>
      </c>
      <c r="F29" s="238" t="s">
        <v>572</v>
      </c>
      <c r="G29" s="238" t="s">
        <v>573</v>
      </c>
      <c r="H29" s="303">
        <f>+IF(ISBLANK(I29),0,VLOOKUP(I29,'8Příloha_2_ceník_pravid_úklid'!$B$9:$C$30,2,0))</f>
        <v>6</v>
      </c>
      <c r="I29" s="273" t="s">
        <v>1</v>
      </c>
      <c r="J29" s="241">
        <v>12</v>
      </c>
      <c r="K29" s="237" t="s">
        <v>51</v>
      </c>
      <c r="L29" s="310" t="s">
        <v>22</v>
      </c>
      <c r="M29" s="237" t="s">
        <v>49</v>
      </c>
      <c r="N29" s="229" t="s">
        <v>501</v>
      </c>
      <c r="O29" s="230">
        <v>0</v>
      </c>
      <c r="P29" s="230">
        <v>0</v>
      </c>
      <c r="Q29" s="230">
        <v>0</v>
      </c>
      <c r="R29" s="230">
        <v>0</v>
      </c>
      <c r="S29" s="231">
        <f>NETWORKDAYS.INTL(DATE(2018,1,1),DATE(2018,12,31),1,{"2018/1/1";"2018/3/30";"2018/4/2";"2018/5/1";"2018/5/8";"2018/7/5";"2018/7/6";"2018/09/28";"2018/11/17";"2018/12/24";"2018/12/25";"2018/12/26"})</f>
        <v>250</v>
      </c>
      <c r="T29" s="231">
        <f t="shared" si="0"/>
        <v>115</v>
      </c>
      <c r="U29" s="231">
        <f t="shared" si="1"/>
        <v>365</v>
      </c>
      <c r="V29" s="306">
        <f t="shared" si="2"/>
        <v>0</v>
      </c>
      <c r="W29" s="309">
        <f t="shared" si="3"/>
        <v>0</v>
      </c>
      <c r="X29" s="579">
        <f t="shared" si="4"/>
        <v>0</v>
      </c>
      <c r="Y29" s="189">
        <v>0</v>
      </c>
    </row>
    <row r="30" spans="1:25" x14ac:dyDescent="0.2">
      <c r="A30" s="235" t="s">
        <v>67</v>
      </c>
      <c r="B30" s="236" t="s">
        <v>54</v>
      </c>
      <c r="C30" s="236"/>
      <c r="D30" s="564">
        <f>VLOOKUP(C30,'Seznam HS - nemaš'!$A$1:$B$96,2,FALSE)</f>
        <v>0</v>
      </c>
      <c r="E30" s="237">
        <v>123</v>
      </c>
      <c r="F30" s="238" t="s">
        <v>575</v>
      </c>
      <c r="G30" s="238" t="s">
        <v>576</v>
      </c>
      <c r="H30" s="303">
        <f>+IF(ISBLANK(I30),0,VLOOKUP(I30,'8Příloha_2_ceník_pravid_úklid'!$B$9:$C$30,2,0))</f>
        <v>17</v>
      </c>
      <c r="I30" s="273" t="s">
        <v>13</v>
      </c>
      <c r="J30" s="241">
        <v>10.28</v>
      </c>
      <c r="K30" s="237" t="s">
        <v>51</v>
      </c>
      <c r="L30" s="242" t="s">
        <v>387</v>
      </c>
      <c r="M30" s="237" t="s">
        <v>49</v>
      </c>
      <c r="N30" s="229" t="s">
        <v>501</v>
      </c>
      <c r="O30" s="230">
        <v>0</v>
      </c>
      <c r="P30" s="230">
        <v>0</v>
      </c>
      <c r="Q30" s="230">
        <v>0</v>
      </c>
      <c r="R30" s="230">
        <v>0</v>
      </c>
      <c r="S30" s="231">
        <f>NETWORKDAYS.INTL(DATE(2018,1,1),DATE(2018,12,31),1,{"2018/1/1";"2018/3/30";"2018/4/2";"2018/5/1";"2018/5/8";"2018/7/5";"2018/7/6";"2018/09/28";"2018/11/17";"2018/12/24";"2018/12/25";"2018/12/26"})</f>
        <v>250</v>
      </c>
      <c r="T30" s="231">
        <f t="shared" si="0"/>
        <v>115</v>
      </c>
      <c r="U30" s="231">
        <f t="shared" si="1"/>
        <v>365</v>
      </c>
      <c r="V30" s="503">
        <f t="shared" si="2"/>
        <v>0</v>
      </c>
      <c r="W30" s="309">
        <f t="shared" si="3"/>
        <v>0</v>
      </c>
      <c r="X30" s="579">
        <f t="shared" si="4"/>
        <v>0</v>
      </c>
      <c r="Y30" s="576">
        <v>0</v>
      </c>
    </row>
    <row r="31" spans="1:25" x14ac:dyDescent="0.2">
      <c r="A31" s="235" t="s">
        <v>67</v>
      </c>
      <c r="B31" s="236" t="s">
        <v>54</v>
      </c>
      <c r="C31" s="236" t="s">
        <v>67</v>
      </c>
      <c r="D31" s="564" t="str">
        <f>VLOOKUP(C31,'Seznam HS - nemaš'!$A$1:$B$96,2,FALSE)</f>
        <v>401200</v>
      </c>
      <c r="E31" s="237">
        <v>124</v>
      </c>
      <c r="F31" s="238" t="s">
        <v>541</v>
      </c>
      <c r="G31" s="238" t="s">
        <v>577</v>
      </c>
      <c r="H31" s="30">
        <f>+IF(ISBLANK(I31),0,VLOOKUP(I31,'8Příloha_2_ceník_pravid_úklid'!$B$9:$C$30,2,0))</f>
        <v>17</v>
      </c>
      <c r="I31" s="273" t="s">
        <v>13</v>
      </c>
      <c r="J31" s="241">
        <v>36.450000000000003</v>
      </c>
      <c r="K31" s="237" t="s">
        <v>51</v>
      </c>
      <c r="L31" s="242" t="s">
        <v>387</v>
      </c>
      <c r="M31" s="237" t="s">
        <v>49</v>
      </c>
      <c r="N31" s="229" t="s">
        <v>501</v>
      </c>
      <c r="O31" s="230">
        <v>0</v>
      </c>
      <c r="P31" s="230">
        <v>0</v>
      </c>
      <c r="Q31" s="230">
        <v>0</v>
      </c>
      <c r="R31" s="230">
        <v>0</v>
      </c>
      <c r="S31" s="231">
        <f>NETWORKDAYS.INTL(DATE(2018,1,1),DATE(2018,12,31),1,{"2018/1/1";"2018/3/30";"2018/4/2";"2018/5/1";"2018/5/8";"2018/7/5";"2018/7/6";"2018/09/28";"2018/11/17";"2018/12/24";"2018/12/25";"2018/12/26"})</f>
        <v>250</v>
      </c>
      <c r="T31" s="231">
        <f t="shared" si="0"/>
        <v>115</v>
      </c>
      <c r="U31" s="231">
        <f t="shared" si="1"/>
        <v>365</v>
      </c>
      <c r="V31" s="503">
        <f t="shared" si="2"/>
        <v>0</v>
      </c>
      <c r="W31" s="309">
        <f t="shared" si="3"/>
        <v>0</v>
      </c>
      <c r="X31" s="579">
        <f t="shared" si="4"/>
        <v>0</v>
      </c>
      <c r="Y31" s="189">
        <v>0</v>
      </c>
    </row>
    <row r="32" spans="1:25" x14ac:dyDescent="0.2">
      <c r="A32" s="235" t="s">
        <v>67</v>
      </c>
      <c r="B32" s="236" t="s">
        <v>54</v>
      </c>
      <c r="C32" s="236" t="s">
        <v>67</v>
      </c>
      <c r="D32" s="564" t="str">
        <f>VLOOKUP(C32,'Seznam HS - nemaš'!$A$1:$B$96,2,FALSE)</f>
        <v>401200</v>
      </c>
      <c r="E32" s="237">
        <v>125</v>
      </c>
      <c r="F32" s="238" t="s">
        <v>578</v>
      </c>
      <c r="G32" s="238"/>
      <c r="H32" s="30">
        <f>+IF(ISBLANK(I32),0,VLOOKUP(I32,'8Příloha_2_ceník_pravid_úklid'!$B$9:$C$30,2,0))</f>
        <v>17</v>
      </c>
      <c r="I32" s="273" t="s">
        <v>13</v>
      </c>
      <c r="J32" s="241">
        <v>13.33</v>
      </c>
      <c r="K32" s="237" t="s">
        <v>51</v>
      </c>
      <c r="L32" s="242" t="s">
        <v>387</v>
      </c>
      <c r="M32" s="237" t="s">
        <v>49</v>
      </c>
      <c r="N32" s="229" t="s">
        <v>501</v>
      </c>
      <c r="O32" s="230">
        <v>0</v>
      </c>
      <c r="P32" s="230">
        <v>0</v>
      </c>
      <c r="Q32" s="230">
        <v>0</v>
      </c>
      <c r="R32" s="230">
        <v>0</v>
      </c>
      <c r="S32" s="231">
        <f>NETWORKDAYS.INTL(DATE(2018,1,1),DATE(2018,12,31),1,{"2018/1/1";"2018/3/30";"2018/4/2";"2018/5/1";"2018/5/8";"2018/7/5";"2018/7/6";"2018/09/28";"2018/11/17";"2018/12/24";"2018/12/25";"2018/12/26"})</f>
        <v>250</v>
      </c>
      <c r="T32" s="231">
        <f t="shared" si="0"/>
        <v>115</v>
      </c>
      <c r="U32" s="231">
        <f t="shared" si="1"/>
        <v>365</v>
      </c>
      <c r="V32" s="306">
        <f t="shared" si="2"/>
        <v>0</v>
      </c>
      <c r="W32" s="309">
        <f t="shared" si="3"/>
        <v>0</v>
      </c>
      <c r="X32" s="579">
        <f t="shared" si="4"/>
        <v>0</v>
      </c>
      <c r="Y32" s="189">
        <v>0</v>
      </c>
    </row>
    <row r="33" spans="1:25" x14ac:dyDescent="0.2">
      <c r="A33" s="235" t="s">
        <v>67</v>
      </c>
      <c r="B33" s="236" t="s">
        <v>54</v>
      </c>
      <c r="C33" s="236" t="s">
        <v>67</v>
      </c>
      <c r="D33" s="564" t="str">
        <f>VLOOKUP(C33,'Seznam HS - nemaš'!$A$1:$B$96,2,FALSE)</f>
        <v>401200</v>
      </c>
      <c r="E33" s="237">
        <v>126</v>
      </c>
      <c r="F33" s="238" t="s">
        <v>562</v>
      </c>
      <c r="G33" s="238" t="s">
        <v>563</v>
      </c>
      <c r="H33" s="303">
        <f>+IF(ISBLANK(I33),0,VLOOKUP(I33,'8Příloha_2_ceník_pravid_úklid'!$B$9:$C$30,2,0))</f>
        <v>7</v>
      </c>
      <c r="I33" s="273" t="s">
        <v>14</v>
      </c>
      <c r="J33" s="241">
        <v>10.6</v>
      </c>
      <c r="K33" s="237" t="s">
        <v>51</v>
      </c>
      <c r="L33" s="310" t="s">
        <v>22</v>
      </c>
      <c r="M33" s="237" t="s">
        <v>49</v>
      </c>
      <c r="N33" s="229" t="s">
        <v>501</v>
      </c>
      <c r="O33" s="230">
        <v>0</v>
      </c>
      <c r="P33" s="230">
        <v>0</v>
      </c>
      <c r="Q33" s="230">
        <v>0</v>
      </c>
      <c r="R33" s="230">
        <v>0</v>
      </c>
      <c r="S33" s="231">
        <f>NETWORKDAYS.INTL(DATE(2018,1,1),DATE(2018,12,31),1,{"2018/1/1";"2018/3/30";"2018/4/2";"2018/5/1";"2018/5/8";"2018/7/5";"2018/7/6";"2018/09/28";"2018/11/17";"2018/12/24";"2018/12/25";"2018/12/26"})</f>
        <v>250</v>
      </c>
      <c r="T33" s="231">
        <f t="shared" si="0"/>
        <v>115</v>
      </c>
      <c r="U33" s="231">
        <f t="shared" si="1"/>
        <v>365</v>
      </c>
      <c r="V33" s="306">
        <f t="shared" si="2"/>
        <v>0</v>
      </c>
      <c r="W33" s="309">
        <f t="shared" si="3"/>
        <v>0</v>
      </c>
      <c r="X33" s="579">
        <f t="shared" si="4"/>
        <v>0</v>
      </c>
      <c r="Y33" s="189">
        <v>0</v>
      </c>
    </row>
    <row r="34" spans="1:25" x14ac:dyDescent="0.2">
      <c r="A34" s="235" t="s">
        <v>67</v>
      </c>
      <c r="B34" s="236" t="s">
        <v>54</v>
      </c>
      <c r="C34" s="236" t="s">
        <v>67</v>
      </c>
      <c r="D34" s="564" t="str">
        <f>VLOOKUP(C34,'Seznam HS - nemaš'!$A$1:$B$96,2,FALSE)</f>
        <v>401200</v>
      </c>
      <c r="E34" s="237">
        <v>127</v>
      </c>
      <c r="F34" s="238" t="s">
        <v>561</v>
      </c>
      <c r="G34" s="238" t="s">
        <v>555</v>
      </c>
      <c r="H34" s="303">
        <f>+IF(ISBLANK(I34),0,VLOOKUP(I34,'8Příloha_2_ceník_pravid_úklid'!$B$9:$C$30,2,0))</f>
        <v>7</v>
      </c>
      <c r="I34" s="273" t="s">
        <v>14</v>
      </c>
      <c r="J34" s="241">
        <v>8</v>
      </c>
      <c r="K34" s="237" t="s">
        <v>51</v>
      </c>
      <c r="L34" s="310" t="s">
        <v>22</v>
      </c>
      <c r="M34" s="237" t="s">
        <v>49</v>
      </c>
      <c r="N34" s="229" t="s">
        <v>501</v>
      </c>
      <c r="O34" s="230">
        <v>0</v>
      </c>
      <c r="P34" s="230">
        <v>0</v>
      </c>
      <c r="Q34" s="230">
        <v>0</v>
      </c>
      <c r="R34" s="230">
        <v>0</v>
      </c>
      <c r="S34" s="231">
        <f>NETWORKDAYS.INTL(DATE(2018,1,1),DATE(2018,12,31),1,{"2018/1/1";"2018/3/30";"2018/4/2";"2018/5/1";"2018/5/8";"2018/7/5";"2018/7/6";"2018/09/28";"2018/11/17";"2018/12/24";"2018/12/25";"2018/12/26"})</f>
        <v>250</v>
      </c>
      <c r="T34" s="231">
        <f t="shared" si="0"/>
        <v>115</v>
      </c>
      <c r="U34" s="231">
        <f t="shared" si="1"/>
        <v>365</v>
      </c>
      <c r="V34" s="306">
        <f t="shared" si="2"/>
        <v>0</v>
      </c>
      <c r="W34" s="309">
        <f t="shared" si="3"/>
        <v>0</v>
      </c>
      <c r="X34" s="579">
        <f t="shared" si="4"/>
        <v>0</v>
      </c>
      <c r="Y34" s="189">
        <v>0</v>
      </c>
    </row>
    <row r="35" spans="1:25" x14ac:dyDescent="0.2">
      <c r="A35" s="235" t="s">
        <v>67</v>
      </c>
      <c r="B35" s="236" t="s">
        <v>54</v>
      </c>
      <c r="C35" s="236" t="s">
        <v>67</v>
      </c>
      <c r="D35" s="564" t="str">
        <f>VLOOKUP(C35,'Seznam HS - nemaš'!$A$1:$B$96,2,FALSE)</f>
        <v>401200</v>
      </c>
      <c r="E35" s="237">
        <v>128</v>
      </c>
      <c r="F35" s="238" t="s">
        <v>389</v>
      </c>
      <c r="G35" s="238" t="s">
        <v>560</v>
      </c>
      <c r="H35" s="303">
        <f>+IF(ISBLANK(I35),0,VLOOKUP(I35,'8Příloha_2_ceník_pravid_úklid'!$B$9:$C$30,2,0))</f>
        <v>17</v>
      </c>
      <c r="I35" s="273" t="s">
        <v>13</v>
      </c>
      <c r="J35" s="241">
        <v>4</v>
      </c>
      <c r="K35" s="237" t="s">
        <v>51</v>
      </c>
      <c r="L35" s="310" t="s">
        <v>22</v>
      </c>
      <c r="M35" s="237" t="s">
        <v>49</v>
      </c>
      <c r="N35" s="229" t="s">
        <v>501</v>
      </c>
      <c r="O35" s="230">
        <v>0</v>
      </c>
      <c r="P35" s="230">
        <v>0</v>
      </c>
      <c r="Q35" s="230">
        <v>0</v>
      </c>
      <c r="R35" s="230">
        <v>0</v>
      </c>
      <c r="S35" s="231">
        <f>NETWORKDAYS.INTL(DATE(2018,1,1),DATE(2018,12,31),1,{"2018/1/1";"2018/3/30";"2018/4/2";"2018/5/1";"2018/5/8";"2018/7/5";"2018/7/6";"2018/09/28";"2018/11/17";"2018/12/24";"2018/12/25";"2018/12/26"})</f>
        <v>250</v>
      </c>
      <c r="T35" s="231">
        <f t="shared" si="0"/>
        <v>115</v>
      </c>
      <c r="U35" s="231">
        <f t="shared" si="1"/>
        <v>365</v>
      </c>
      <c r="V35" s="306">
        <f t="shared" si="2"/>
        <v>0</v>
      </c>
      <c r="W35" s="309">
        <f t="shared" si="3"/>
        <v>0</v>
      </c>
      <c r="X35" s="579">
        <f t="shared" si="4"/>
        <v>0</v>
      </c>
      <c r="Y35" s="189">
        <v>0</v>
      </c>
    </row>
    <row r="36" spans="1:25" x14ac:dyDescent="0.2">
      <c r="A36" s="235" t="s">
        <v>67</v>
      </c>
      <c r="B36" s="236" t="s">
        <v>54</v>
      </c>
      <c r="C36" s="236" t="s">
        <v>67</v>
      </c>
      <c r="D36" s="564" t="str">
        <f>VLOOKUP(C36,'Seznam HS - nemaš'!$A$1:$B$96,2,FALSE)</f>
        <v>401200</v>
      </c>
      <c r="E36" s="237">
        <v>129</v>
      </c>
      <c r="F36" s="238" t="s">
        <v>389</v>
      </c>
      <c r="G36" s="238" t="s">
        <v>574</v>
      </c>
      <c r="H36" s="303">
        <f>+IF(ISBLANK(I36),0,VLOOKUP(I36,'8Příloha_2_ceník_pravid_úklid'!$B$9:$C$30,2,0))</f>
        <v>17</v>
      </c>
      <c r="I36" s="273" t="s">
        <v>13</v>
      </c>
      <c r="J36" s="241">
        <v>9.9499999999999993</v>
      </c>
      <c r="K36" s="237" t="s">
        <v>51</v>
      </c>
      <c r="L36" s="310" t="s">
        <v>22</v>
      </c>
      <c r="M36" s="237" t="s">
        <v>49</v>
      </c>
      <c r="N36" s="229" t="s">
        <v>501</v>
      </c>
      <c r="O36" s="230">
        <v>0</v>
      </c>
      <c r="P36" s="230">
        <v>0</v>
      </c>
      <c r="Q36" s="230">
        <v>0</v>
      </c>
      <c r="R36" s="230">
        <v>0</v>
      </c>
      <c r="S36" s="231">
        <f>NETWORKDAYS.INTL(DATE(2018,1,1),DATE(2018,12,31),1,{"2018/1/1";"2018/3/30";"2018/4/2";"2018/5/1";"2018/5/8";"2018/7/5";"2018/7/6";"2018/09/28";"2018/11/17";"2018/12/24";"2018/12/25";"2018/12/26"})</f>
        <v>250</v>
      </c>
      <c r="T36" s="231">
        <f t="shared" si="0"/>
        <v>115</v>
      </c>
      <c r="U36" s="231">
        <f t="shared" si="1"/>
        <v>365</v>
      </c>
      <c r="V36" s="306">
        <f t="shared" si="2"/>
        <v>0</v>
      </c>
      <c r="W36" s="309">
        <f t="shared" si="3"/>
        <v>0</v>
      </c>
      <c r="X36" s="579">
        <f t="shared" si="4"/>
        <v>0</v>
      </c>
      <c r="Y36" s="189">
        <v>0</v>
      </c>
    </row>
    <row r="37" spans="1:25" x14ac:dyDescent="0.2">
      <c r="A37" s="235" t="s">
        <v>67</v>
      </c>
      <c r="B37" s="236" t="s">
        <v>54</v>
      </c>
      <c r="C37" s="236" t="s">
        <v>67</v>
      </c>
      <c r="D37" s="564" t="str">
        <f>VLOOKUP(C37,'Seznam HS - nemaš'!$A$1:$B$96,2,FALSE)</f>
        <v>401200</v>
      </c>
      <c r="E37" s="237">
        <v>130</v>
      </c>
      <c r="F37" s="238" t="s">
        <v>557</v>
      </c>
      <c r="G37" s="238" t="s">
        <v>558</v>
      </c>
      <c r="H37" s="303">
        <f>+IF(ISBLANK(I37),0,VLOOKUP(I37,'8Příloha_2_ceník_pravid_úklid'!$B$9:$C$30,2,0))</f>
        <v>12</v>
      </c>
      <c r="I37" s="273" t="s">
        <v>4</v>
      </c>
      <c r="J37" s="241">
        <v>4.7</v>
      </c>
      <c r="K37" s="237" t="s">
        <v>51</v>
      </c>
      <c r="L37" s="310" t="s">
        <v>559</v>
      </c>
      <c r="M37" s="237" t="s">
        <v>49</v>
      </c>
      <c r="N37" s="229" t="s">
        <v>501</v>
      </c>
      <c r="O37" s="230">
        <v>0</v>
      </c>
      <c r="P37" s="230">
        <v>0</v>
      </c>
      <c r="Q37" s="230">
        <v>0</v>
      </c>
      <c r="R37" s="230">
        <v>0</v>
      </c>
      <c r="S37" s="231">
        <f>NETWORKDAYS.INTL(DATE(2018,1,1),DATE(2018,12,31),1,{"2018/1/1";"2018/3/30";"2018/4/2";"2018/5/1";"2018/5/8";"2018/7/5";"2018/7/6";"2018/09/28";"2018/11/17";"2018/12/24";"2018/12/25";"2018/12/26"})</f>
        <v>250</v>
      </c>
      <c r="T37" s="231">
        <f t="shared" si="0"/>
        <v>115</v>
      </c>
      <c r="U37" s="231">
        <f t="shared" si="1"/>
        <v>365</v>
      </c>
      <c r="V37" s="306">
        <f t="shared" si="2"/>
        <v>0</v>
      </c>
      <c r="W37" s="309">
        <f t="shared" si="3"/>
        <v>0</v>
      </c>
      <c r="X37" s="579">
        <f t="shared" si="4"/>
        <v>0</v>
      </c>
      <c r="Y37" s="189">
        <v>0</v>
      </c>
    </row>
    <row r="38" spans="1:25" x14ac:dyDescent="0.2">
      <c r="A38" s="235" t="s">
        <v>67</v>
      </c>
      <c r="B38" s="236" t="s">
        <v>54</v>
      </c>
      <c r="C38" s="236" t="s">
        <v>67</v>
      </c>
      <c r="D38" s="564" t="str">
        <f>VLOOKUP(C38,'Seznam HS - nemaš'!$A$1:$B$96,2,FALSE)</f>
        <v>401200</v>
      </c>
      <c r="E38" s="237">
        <v>131</v>
      </c>
      <c r="F38" s="238" t="s">
        <v>556</v>
      </c>
      <c r="G38" s="238" t="s">
        <v>442</v>
      </c>
      <c r="H38" s="303">
        <f>+IF(ISBLANK(I38),0,VLOOKUP(I38,'8Příloha_2_ceník_pravid_úklid'!$B$9:$C$30,2,0))</f>
        <v>7</v>
      </c>
      <c r="I38" s="273" t="s">
        <v>14</v>
      </c>
      <c r="J38" s="241">
        <v>2.7</v>
      </c>
      <c r="K38" s="237" t="s">
        <v>51</v>
      </c>
      <c r="L38" s="310" t="s">
        <v>22</v>
      </c>
      <c r="M38" s="237" t="s">
        <v>49</v>
      </c>
      <c r="N38" s="229" t="s">
        <v>501</v>
      </c>
      <c r="O38" s="230">
        <v>0</v>
      </c>
      <c r="P38" s="230">
        <v>0</v>
      </c>
      <c r="Q38" s="230">
        <v>0</v>
      </c>
      <c r="R38" s="230">
        <v>0</v>
      </c>
      <c r="S38" s="231">
        <f>NETWORKDAYS.INTL(DATE(2018,1,1),DATE(2018,12,31),1,{"2018/1/1";"2018/3/30";"2018/4/2";"2018/5/1";"2018/5/8";"2018/7/5";"2018/7/6";"2018/09/28";"2018/11/17";"2018/12/24";"2018/12/25";"2018/12/26"})</f>
        <v>250</v>
      </c>
      <c r="T38" s="231">
        <f t="shared" ref="T38:T69" si="5">U38-S38</f>
        <v>115</v>
      </c>
      <c r="U38" s="231">
        <f t="shared" ref="U38:U69" si="6">_xlfn.DAYS("1.1.2019","1.1.2018")</f>
        <v>365</v>
      </c>
      <c r="V38" s="306">
        <f t="shared" si="2"/>
        <v>0</v>
      </c>
      <c r="W38" s="309">
        <f t="shared" si="3"/>
        <v>0</v>
      </c>
      <c r="X38" s="579">
        <f t="shared" si="4"/>
        <v>0</v>
      </c>
      <c r="Y38" s="189">
        <v>0</v>
      </c>
    </row>
    <row r="39" spans="1:25" x14ac:dyDescent="0.2">
      <c r="A39" s="235" t="s">
        <v>67</v>
      </c>
      <c r="B39" s="236" t="s">
        <v>54</v>
      </c>
      <c r="C39" s="236" t="s">
        <v>67</v>
      </c>
      <c r="D39" s="564" t="str">
        <f>VLOOKUP(C39,'Seznam HS - nemaš'!$A$1:$B$96,2,FALSE)</f>
        <v>401200</v>
      </c>
      <c r="E39" s="237" t="s">
        <v>1730</v>
      </c>
      <c r="F39" s="238" t="s">
        <v>437</v>
      </c>
      <c r="G39" s="238" t="s">
        <v>442</v>
      </c>
      <c r="H39" s="303">
        <f>+IF(ISBLANK(I39),0,VLOOKUP(I39,'8Příloha_2_ceník_pravid_úklid'!$B$9:$C$30,2,0))</f>
        <v>7</v>
      </c>
      <c r="I39" s="273" t="s">
        <v>14</v>
      </c>
      <c r="J39" s="241">
        <v>1.1000000000000001</v>
      </c>
      <c r="K39" s="237" t="s">
        <v>51</v>
      </c>
      <c r="L39" s="310" t="s">
        <v>22</v>
      </c>
      <c r="M39" s="237" t="s">
        <v>49</v>
      </c>
      <c r="N39" s="229" t="s">
        <v>501</v>
      </c>
      <c r="O39" s="230">
        <v>0</v>
      </c>
      <c r="P39" s="230">
        <v>0</v>
      </c>
      <c r="Q39" s="230">
        <v>0</v>
      </c>
      <c r="R39" s="230">
        <v>0</v>
      </c>
      <c r="S39" s="231">
        <f>NETWORKDAYS.INTL(DATE(2018,1,1),DATE(2018,12,31),1,{"2018/1/1";"2018/3/30";"2018/4/2";"2018/5/1";"2018/5/8";"2018/7/5";"2018/7/6";"2018/09/28";"2018/11/17";"2018/12/24";"2018/12/25";"2018/12/26"})</f>
        <v>250</v>
      </c>
      <c r="T39" s="231">
        <f t="shared" si="5"/>
        <v>115</v>
      </c>
      <c r="U39" s="231">
        <f t="shared" si="6"/>
        <v>365</v>
      </c>
      <c r="V39" s="306">
        <f t="shared" si="2"/>
        <v>0</v>
      </c>
      <c r="W39" s="309">
        <f t="shared" si="3"/>
        <v>0</v>
      </c>
      <c r="X39" s="579">
        <f t="shared" si="4"/>
        <v>0</v>
      </c>
      <c r="Y39" s="189">
        <v>0</v>
      </c>
    </row>
    <row r="40" spans="1:25" x14ac:dyDescent="0.2">
      <c r="A40" s="235" t="s">
        <v>67</v>
      </c>
      <c r="B40" s="236" t="s">
        <v>54</v>
      </c>
      <c r="C40" s="236" t="s">
        <v>67</v>
      </c>
      <c r="D40" s="564" t="str">
        <f>VLOOKUP(C40,'Seznam HS - nemaš'!$A$1:$B$96,2,FALSE)</f>
        <v>401200</v>
      </c>
      <c r="E40" s="237">
        <v>132</v>
      </c>
      <c r="F40" s="238" t="s">
        <v>492</v>
      </c>
      <c r="G40" s="238"/>
      <c r="H40" s="303">
        <f>+IF(ISBLANK(I40),0,VLOOKUP(I40,'8Příloha_2_ceník_pravid_úklid'!$B$9:$C$30,2,0))</f>
        <v>4</v>
      </c>
      <c r="I40" s="273" t="s">
        <v>9</v>
      </c>
      <c r="J40" s="241">
        <v>13.7</v>
      </c>
      <c r="K40" s="237" t="s">
        <v>51</v>
      </c>
      <c r="L40" s="310" t="s">
        <v>22</v>
      </c>
      <c r="M40" s="237" t="s">
        <v>49</v>
      </c>
      <c r="N40" s="229" t="s">
        <v>501</v>
      </c>
      <c r="O40" s="230">
        <v>0</v>
      </c>
      <c r="P40" s="230">
        <v>0</v>
      </c>
      <c r="Q40" s="230">
        <v>0</v>
      </c>
      <c r="R40" s="230">
        <v>0</v>
      </c>
      <c r="S40" s="231">
        <f>NETWORKDAYS.INTL(DATE(2018,1,1),DATE(2018,12,31),1,{"2018/1/1";"2018/3/30";"2018/4/2";"2018/5/1";"2018/5/8";"2018/7/5";"2018/7/6";"2018/09/28";"2018/11/17";"2018/12/24";"2018/12/25";"2018/12/26"})</f>
        <v>250</v>
      </c>
      <c r="T40" s="231">
        <f t="shared" si="5"/>
        <v>115</v>
      </c>
      <c r="U40" s="231">
        <f t="shared" si="6"/>
        <v>365</v>
      </c>
      <c r="V40" s="306">
        <f t="shared" si="2"/>
        <v>0</v>
      </c>
      <c r="W40" s="309">
        <f t="shared" si="3"/>
        <v>0</v>
      </c>
      <c r="X40" s="579">
        <f t="shared" si="4"/>
        <v>0</v>
      </c>
      <c r="Y40" s="189">
        <v>0</v>
      </c>
    </row>
    <row r="41" spans="1:25" x14ac:dyDescent="0.2">
      <c r="A41" s="235" t="s">
        <v>67</v>
      </c>
      <c r="B41" s="236" t="s">
        <v>54</v>
      </c>
      <c r="C41" s="236" t="s">
        <v>67</v>
      </c>
      <c r="D41" s="564" t="str">
        <f>VLOOKUP(C41,'Seznam HS - nemaš'!$A$1:$B$96,2,FALSE)</f>
        <v>401200</v>
      </c>
      <c r="E41" s="237">
        <v>133</v>
      </c>
      <c r="F41" s="238" t="s">
        <v>53</v>
      </c>
      <c r="G41" s="238"/>
      <c r="H41" s="303">
        <f>+IF(ISBLANK(I41),0,VLOOKUP(I41,'8Příloha_2_ceník_pravid_úklid'!$B$9:$C$30,2,0))</f>
        <v>6</v>
      </c>
      <c r="I41" s="273" t="s">
        <v>1</v>
      </c>
      <c r="J41" s="241">
        <v>5.3</v>
      </c>
      <c r="K41" s="237" t="s">
        <v>51</v>
      </c>
      <c r="L41" s="310" t="s">
        <v>22</v>
      </c>
      <c r="M41" s="237" t="s">
        <v>49</v>
      </c>
      <c r="N41" s="229" t="s">
        <v>501</v>
      </c>
      <c r="O41" s="230">
        <v>0</v>
      </c>
      <c r="P41" s="230">
        <v>0</v>
      </c>
      <c r="Q41" s="230">
        <v>0</v>
      </c>
      <c r="R41" s="230">
        <v>0</v>
      </c>
      <c r="S41" s="231">
        <f>NETWORKDAYS.INTL(DATE(2018,1,1),DATE(2018,12,31),1,{"2018/1/1";"2018/3/30";"2018/4/2";"2018/5/1";"2018/5/8";"2018/7/5";"2018/7/6";"2018/09/28";"2018/11/17";"2018/12/24";"2018/12/25";"2018/12/26"})</f>
        <v>250</v>
      </c>
      <c r="T41" s="231">
        <f t="shared" si="5"/>
        <v>115</v>
      </c>
      <c r="U41" s="231">
        <f t="shared" si="6"/>
        <v>365</v>
      </c>
      <c r="V41" s="306">
        <f t="shared" si="2"/>
        <v>0</v>
      </c>
      <c r="W41" s="309">
        <f t="shared" si="3"/>
        <v>0</v>
      </c>
      <c r="X41" s="579">
        <f t="shared" si="4"/>
        <v>0</v>
      </c>
      <c r="Y41" s="189">
        <v>0</v>
      </c>
    </row>
    <row r="42" spans="1:25" x14ac:dyDescent="0.2">
      <c r="A42" s="235" t="s">
        <v>67</v>
      </c>
      <c r="B42" s="236" t="s">
        <v>54</v>
      </c>
      <c r="C42" s="236" t="s">
        <v>67</v>
      </c>
      <c r="D42" s="564" t="str">
        <f>VLOOKUP(C42,'Seznam HS - nemaš'!$A$1:$B$96,2,FALSE)</f>
        <v>401200</v>
      </c>
      <c r="E42" s="237">
        <v>134</v>
      </c>
      <c r="F42" s="238" t="s">
        <v>437</v>
      </c>
      <c r="G42" s="238" t="s">
        <v>555</v>
      </c>
      <c r="H42" s="303">
        <f>+IF(ISBLANK(I42),0,VLOOKUP(I42,'8Příloha_2_ceník_pravid_úklid'!$B$9:$C$30,2,0))</f>
        <v>7</v>
      </c>
      <c r="I42" s="273" t="s">
        <v>14</v>
      </c>
      <c r="J42" s="241">
        <v>2.8</v>
      </c>
      <c r="K42" s="237" t="s">
        <v>51</v>
      </c>
      <c r="L42" s="310" t="s">
        <v>22</v>
      </c>
      <c r="M42" s="237" t="s">
        <v>49</v>
      </c>
      <c r="N42" s="229" t="s">
        <v>501</v>
      </c>
      <c r="O42" s="230">
        <v>0</v>
      </c>
      <c r="P42" s="230">
        <v>0</v>
      </c>
      <c r="Q42" s="230">
        <v>0</v>
      </c>
      <c r="R42" s="230">
        <v>0</v>
      </c>
      <c r="S42" s="231">
        <f>NETWORKDAYS.INTL(DATE(2018,1,1),DATE(2018,12,31),1,{"2018/1/1";"2018/3/30";"2018/4/2";"2018/5/1";"2018/5/8";"2018/7/5";"2018/7/6";"2018/09/28";"2018/11/17";"2018/12/24";"2018/12/25";"2018/12/26"})</f>
        <v>250</v>
      </c>
      <c r="T42" s="231">
        <f t="shared" si="5"/>
        <v>115</v>
      </c>
      <c r="U42" s="231">
        <f t="shared" si="6"/>
        <v>365</v>
      </c>
      <c r="V42" s="306">
        <f t="shared" si="2"/>
        <v>0</v>
      </c>
      <c r="W42" s="309">
        <f t="shared" si="3"/>
        <v>0</v>
      </c>
      <c r="X42" s="579">
        <f t="shared" si="4"/>
        <v>0</v>
      </c>
      <c r="Y42" s="189">
        <v>0</v>
      </c>
    </row>
    <row r="43" spans="1:25" x14ac:dyDescent="0.2">
      <c r="A43" s="235" t="s">
        <v>67</v>
      </c>
      <c r="B43" s="236" t="s">
        <v>54</v>
      </c>
      <c r="C43" s="236" t="s">
        <v>67</v>
      </c>
      <c r="D43" s="564" t="str">
        <f>VLOOKUP(C43,'Seznam HS - nemaš'!$A$1:$B$96,2,FALSE)</f>
        <v>401200</v>
      </c>
      <c r="E43" s="237">
        <v>135</v>
      </c>
      <c r="F43" s="238" t="s">
        <v>554</v>
      </c>
      <c r="G43" s="238"/>
      <c r="H43" s="303">
        <f>+IF(ISBLANK(I43),0,VLOOKUP(I43,'8Příloha_2_ceník_pravid_úklid'!$B$9:$C$30,2,0))</f>
        <v>7</v>
      </c>
      <c r="I43" s="273" t="s">
        <v>14</v>
      </c>
      <c r="J43" s="241"/>
      <c r="K43" s="237" t="s">
        <v>544</v>
      </c>
      <c r="L43" s="310" t="s">
        <v>66</v>
      </c>
      <c r="M43" s="237"/>
      <c r="N43" s="229" t="s">
        <v>501</v>
      </c>
      <c r="O43" s="230">
        <v>0</v>
      </c>
      <c r="P43" s="230">
        <v>0</v>
      </c>
      <c r="Q43" s="230">
        <v>0</v>
      </c>
      <c r="R43" s="230">
        <v>0</v>
      </c>
      <c r="S43" s="231">
        <f>NETWORKDAYS.INTL(DATE(2018,1,1),DATE(2018,12,31),1,{"2018/1/1";"2018/3/30";"2018/4/2";"2018/5/1";"2018/5/8";"2018/7/5";"2018/7/6";"2018/09/28";"2018/11/17";"2018/12/24";"2018/12/25";"2018/12/26"})</f>
        <v>250</v>
      </c>
      <c r="T43" s="231">
        <f t="shared" si="5"/>
        <v>115</v>
      </c>
      <c r="U43" s="231">
        <f t="shared" si="6"/>
        <v>365</v>
      </c>
      <c r="V43" s="306">
        <f t="shared" si="2"/>
        <v>0</v>
      </c>
      <c r="W43" s="309">
        <f t="shared" si="3"/>
        <v>0</v>
      </c>
      <c r="X43" s="579">
        <f t="shared" si="4"/>
        <v>0</v>
      </c>
      <c r="Y43" s="189">
        <v>0</v>
      </c>
    </row>
    <row r="44" spans="1:25" x14ac:dyDescent="0.2">
      <c r="A44" s="235" t="s">
        <v>67</v>
      </c>
      <c r="B44" s="236" t="s">
        <v>54</v>
      </c>
      <c r="C44" s="236" t="s">
        <v>67</v>
      </c>
      <c r="D44" s="564" t="str">
        <f>VLOOKUP(C44,'Seznam HS - nemaš'!$A$1:$B$96,2,FALSE)</f>
        <v>401200</v>
      </c>
      <c r="E44" s="237">
        <v>136</v>
      </c>
      <c r="F44" s="238" t="s">
        <v>552</v>
      </c>
      <c r="G44" s="238" t="s">
        <v>553</v>
      </c>
      <c r="H44" s="303">
        <f>+IF(ISBLANK(I44),0,VLOOKUP(I44,'8Příloha_2_ceník_pravid_úklid'!$B$9:$C$30,2,0))</f>
        <v>16</v>
      </c>
      <c r="I44" s="273" t="s">
        <v>6</v>
      </c>
      <c r="J44" s="241">
        <v>8.1999999999999993</v>
      </c>
      <c r="K44" s="237" t="s">
        <v>51</v>
      </c>
      <c r="L44" s="310" t="s">
        <v>22</v>
      </c>
      <c r="M44" s="237" t="s">
        <v>49</v>
      </c>
      <c r="N44" s="229" t="s">
        <v>501</v>
      </c>
      <c r="O44" s="230">
        <v>0</v>
      </c>
      <c r="P44" s="230">
        <v>0</v>
      </c>
      <c r="Q44" s="230">
        <v>0</v>
      </c>
      <c r="R44" s="230">
        <v>0</v>
      </c>
      <c r="S44" s="231">
        <f>NETWORKDAYS.INTL(DATE(2018,1,1),DATE(2018,12,31),1,{"2018/1/1";"2018/3/30";"2018/4/2";"2018/5/1";"2018/5/8";"2018/7/5";"2018/7/6";"2018/09/28";"2018/11/17";"2018/12/24";"2018/12/25";"2018/12/26"})</f>
        <v>250</v>
      </c>
      <c r="T44" s="231">
        <f t="shared" si="5"/>
        <v>115</v>
      </c>
      <c r="U44" s="231">
        <f t="shared" si="6"/>
        <v>365</v>
      </c>
      <c r="V44" s="306">
        <f t="shared" si="2"/>
        <v>0</v>
      </c>
      <c r="W44" s="309">
        <f t="shared" si="3"/>
        <v>0</v>
      </c>
      <c r="X44" s="579">
        <f t="shared" si="4"/>
        <v>0</v>
      </c>
      <c r="Y44" s="189">
        <v>0</v>
      </c>
    </row>
    <row r="45" spans="1:25" x14ac:dyDescent="0.2">
      <c r="A45" s="235" t="s">
        <v>67</v>
      </c>
      <c r="B45" s="236" t="s">
        <v>54</v>
      </c>
      <c r="C45" s="236" t="s">
        <v>67</v>
      </c>
      <c r="D45" s="564" t="str">
        <f>VLOOKUP(C45,'Seznam HS - nemaš'!$A$1:$B$96,2,FALSE)</f>
        <v>401200</v>
      </c>
      <c r="E45" s="237">
        <v>137</v>
      </c>
      <c r="F45" s="238" t="s">
        <v>53</v>
      </c>
      <c r="G45" s="238"/>
      <c r="H45" s="303">
        <f>+IF(ISBLANK(I45),0,VLOOKUP(I45,'8Příloha_2_ceník_pravid_úklid'!$B$9:$C$30,2,0))</f>
        <v>6</v>
      </c>
      <c r="I45" s="273" t="s">
        <v>1</v>
      </c>
      <c r="J45" s="241">
        <v>48</v>
      </c>
      <c r="K45" s="237" t="s">
        <v>51</v>
      </c>
      <c r="L45" s="310" t="s">
        <v>22</v>
      </c>
      <c r="M45" s="237" t="s">
        <v>49</v>
      </c>
      <c r="N45" s="229" t="s">
        <v>501</v>
      </c>
      <c r="O45" s="230">
        <v>0</v>
      </c>
      <c r="P45" s="230">
        <v>0</v>
      </c>
      <c r="Q45" s="230">
        <v>0</v>
      </c>
      <c r="R45" s="230">
        <v>0</v>
      </c>
      <c r="S45" s="231">
        <f>NETWORKDAYS.INTL(DATE(2018,1,1),DATE(2018,12,31),1,{"2018/1/1";"2018/3/30";"2018/4/2";"2018/5/1";"2018/5/8";"2018/7/5";"2018/7/6";"2018/09/28";"2018/11/17";"2018/12/24";"2018/12/25";"2018/12/26"})</f>
        <v>250</v>
      </c>
      <c r="T45" s="231">
        <f t="shared" si="5"/>
        <v>115</v>
      </c>
      <c r="U45" s="231">
        <f t="shared" si="6"/>
        <v>365</v>
      </c>
      <c r="V45" s="306">
        <f t="shared" si="2"/>
        <v>0</v>
      </c>
      <c r="W45" s="309">
        <f t="shared" si="3"/>
        <v>0</v>
      </c>
      <c r="X45" s="579">
        <f t="shared" si="4"/>
        <v>0</v>
      </c>
      <c r="Y45" s="189">
        <v>0</v>
      </c>
    </row>
    <row r="46" spans="1:25" x14ac:dyDescent="0.2">
      <c r="A46" s="235" t="s">
        <v>67</v>
      </c>
      <c r="B46" s="236" t="s">
        <v>54</v>
      </c>
      <c r="C46" s="236" t="s">
        <v>67</v>
      </c>
      <c r="D46" s="564" t="str">
        <f>VLOOKUP(C46,'Seznam HS - nemaš'!$A$1:$B$96,2,FALSE)</f>
        <v>401200</v>
      </c>
      <c r="E46" s="237">
        <v>138</v>
      </c>
      <c r="F46" s="238" t="s">
        <v>557</v>
      </c>
      <c r="G46" s="238" t="s">
        <v>570</v>
      </c>
      <c r="H46" s="303">
        <f>+IF(ISBLANK(I46),0,VLOOKUP(I46,'8Příloha_2_ceník_pravid_úklid'!$B$9:$C$30,2,0))</f>
        <v>4</v>
      </c>
      <c r="I46" s="273" t="s">
        <v>9</v>
      </c>
      <c r="J46" s="241">
        <v>7.2</v>
      </c>
      <c r="K46" s="237" t="s">
        <v>51</v>
      </c>
      <c r="L46" s="310" t="s">
        <v>22</v>
      </c>
      <c r="M46" s="237" t="s">
        <v>49</v>
      </c>
      <c r="N46" s="229" t="s">
        <v>501</v>
      </c>
      <c r="O46" s="230">
        <v>0</v>
      </c>
      <c r="P46" s="230">
        <v>0</v>
      </c>
      <c r="Q46" s="230">
        <v>0</v>
      </c>
      <c r="R46" s="230">
        <v>0</v>
      </c>
      <c r="S46" s="231">
        <f>NETWORKDAYS.INTL(DATE(2018,1,1),DATE(2018,12,31),1,{"2018/1/1";"2018/3/30";"2018/4/2";"2018/5/1";"2018/5/8";"2018/7/5";"2018/7/6";"2018/09/28";"2018/11/17";"2018/12/24";"2018/12/25";"2018/12/26"})</f>
        <v>250</v>
      </c>
      <c r="T46" s="231">
        <f t="shared" si="5"/>
        <v>115</v>
      </c>
      <c r="U46" s="231">
        <f t="shared" si="6"/>
        <v>365</v>
      </c>
      <c r="V46" s="306">
        <f t="shared" si="2"/>
        <v>0</v>
      </c>
      <c r="W46" s="309">
        <f t="shared" si="3"/>
        <v>0</v>
      </c>
      <c r="X46" s="579">
        <f t="shared" si="4"/>
        <v>0</v>
      </c>
      <c r="Y46" s="189">
        <v>0</v>
      </c>
    </row>
    <row r="47" spans="1:25" x14ac:dyDescent="0.2">
      <c r="A47" s="235" t="s">
        <v>67</v>
      </c>
      <c r="B47" s="236" t="s">
        <v>54</v>
      </c>
      <c r="C47" s="236" t="s">
        <v>67</v>
      </c>
      <c r="D47" s="564" t="str">
        <f>VLOOKUP(C47,'Seznam HS - nemaš'!$A$1:$B$96,2,FALSE)</f>
        <v>401200</v>
      </c>
      <c r="E47" s="237">
        <v>139</v>
      </c>
      <c r="F47" s="238" t="s">
        <v>564</v>
      </c>
      <c r="G47" s="238"/>
      <c r="H47" s="303">
        <f>+IF(ISBLANK(I47),0,VLOOKUP(I47,'8Příloha_2_ceník_pravid_úklid'!$B$9:$C$30,2,0))</f>
        <v>4</v>
      </c>
      <c r="I47" s="273" t="s">
        <v>9</v>
      </c>
      <c r="J47" s="241">
        <v>11.4</v>
      </c>
      <c r="K47" s="237" t="s">
        <v>51</v>
      </c>
      <c r="L47" s="310" t="s">
        <v>22</v>
      </c>
      <c r="M47" s="237" t="s">
        <v>49</v>
      </c>
      <c r="N47" s="229" t="s">
        <v>501</v>
      </c>
      <c r="O47" s="230">
        <v>0</v>
      </c>
      <c r="P47" s="230">
        <v>0</v>
      </c>
      <c r="Q47" s="230">
        <v>0</v>
      </c>
      <c r="R47" s="230">
        <v>0</v>
      </c>
      <c r="S47" s="231">
        <f>NETWORKDAYS.INTL(DATE(2018,1,1),DATE(2018,12,31),1,{"2018/1/1";"2018/3/30";"2018/4/2";"2018/5/1";"2018/5/8";"2018/7/5";"2018/7/6";"2018/09/28";"2018/11/17";"2018/12/24";"2018/12/25";"2018/12/26"})</f>
        <v>250</v>
      </c>
      <c r="T47" s="231">
        <f t="shared" si="5"/>
        <v>115</v>
      </c>
      <c r="U47" s="231">
        <f t="shared" si="6"/>
        <v>365</v>
      </c>
      <c r="V47" s="306">
        <f t="shared" si="2"/>
        <v>0</v>
      </c>
      <c r="W47" s="309">
        <f t="shared" si="3"/>
        <v>0</v>
      </c>
      <c r="X47" s="579">
        <f t="shared" si="4"/>
        <v>0</v>
      </c>
      <c r="Y47" s="189">
        <v>0</v>
      </c>
    </row>
    <row r="48" spans="1:25" x14ac:dyDescent="0.2">
      <c r="A48" s="221" t="s">
        <v>67</v>
      </c>
      <c r="B48" s="222" t="s">
        <v>54</v>
      </c>
      <c r="C48" s="222" t="s">
        <v>67</v>
      </c>
      <c r="D48" s="535" t="str">
        <f>VLOOKUP(C48,'Seznam HS - nemaš'!$A$1:$B$96,2,FALSE)</f>
        <v>401200</v>
      </c>
      <c r="E48" s="223">
        <v>140</v>
      </c>
      <c r="F48" s="266" t="s">
        <v>565</v>
      </c>
      <c r="G48" s="266" t="s">
        <v>566</v>
      </c>
      <c r="H48" s="224">
        <f>+IF(ISBLANK(I48),0,VLOOKUP(I48,'8Příloha_2_ceník_pravid_úklid'!$B$9:$C$30,2,0))</f>
        <v>4</v>
      </c>
      <c r="I48" s="267" t="s">
        <v>9</v>
      </c>
      <c r="J48" s="226">
        <v>10</v>
      </c>
      <c r="K48" s="223" t="s">
        <v>51</v>
      </c>
      <c r="L48" s="587" t="s">
        <v>22</v>
      </c>
      <c r="M48" s="223" t="s">
        <v>49</v>
      </c>
      <c r="N48" s="228" t="s">
        <v>501</v>
      </c>
      <c r="O48" s="268">
        <v>0</v>
      </c>
      <c r="P48" s="268">
        <v>0</v>
      </c>
      <c r="Q48" s="268">
        <v>0</v>
      </c>
      <c r="R48" s="268">
        <v>0</v>
      </c>
      <c r="S48" s="269">
        <f>NETWORKDAYS.INTL(DATE(2018,1,1),DATE(2018,12,31),1,{"2018/1/1";"2018/3/30";"2018/4/2";"2018/5/1";"2018/5/8";"2018/7/5";"2018/7/6";"2018/09/28";"2018/11/17";"2018/12/24";"2018/12/25";"2018/12/26"})</f>
        <v>250</v>
      </c>
      <c r="T48" s="269">
        <f t="shared" si="5"/>
        <v>115</v>
      </c>
      <c r="U48" s="269">
        <f t="shared" si="6"/>
        <v>365</v>
      </c>
      <c r="V48" s="588">
        <f t="shared" si="2"/>
        <v>0</v>
      </c>
      <c r="W48" s="589">
        <f t="shared" si="3"/>
        <v>0</v>
      </c>
      <c r="X48" s="590">
        <f t="shared" si="4"/>
        <v>0</v>
      </c>
      <c r="Y48" s="591">
        <v>0</v>
      </c>
    </row>
    <row r="49" spans="1:25" x14ac:dyDescent="0.2">
      <c r="A49" s="235" t="s">
        <v>67</v>
      </c>
      <c r="B49" s="236" t="s">
        <v>54</v>
      </c>
      <c r="C49" s="236" t="s">
        <v>67</v>
      </c>
      <c r="D49" s="564" t="str">
        <f>VLOOKUP(C49,'Seznam HS - nemaš'!$A$1:$B$96,2,FALSE)</f>
        <v>401200</v>
      </c>
      <c r="E49" s="237">
        <v>141</v>
      </c>
      <c r="F49" s="238" t="s">
        <v>567</v>
      </c>
      <c r="G49" s="238" t="s">
        <v>568</v>
      </c>
      <c r="H49" s="303">
        <f>+IF(ISBLANK(I49),0,VLOOKUP(I49,'8Příloha_2_ceník_pravid_úklid'!$B$9:$C$30,2,0))</f>
        <v>12</v>
      </c>
      <c r="I49" s="273" t="s">
        <v>4</v>
      </c>
      <c r="J49" s="241">
        <v>13.9</v>
      </c>
      <c r="K49" s="237" t="s">
        <v>51</v>
      </c>
      <c r="L49" s="310" t="s">
        <v>559</v>
      </c>
      <c r="M49" s="237" t="s">
        <v>49</v>
      </c>
      <c r="N49" s="229" t="s">
        <v>501</v>
      </c>
      <c r="O49" s="230">
        <v>0</v>
      </c>
      <c r="P49" s="230">
        <v>0</v>
      </c>
      <c r="Q49" s="230">
        <v>0</v>
      </c>
      <c r="R49" s="230">
        <v>0</v>
      </c>
      <c r="S49" s="231">
        <f>NETWORKDAYS.INTL(DATE(2018,1,1),DATE(2018,12,31),1,{"2018/1/1";"2018/3/30";"2018/4/2";"2018/5/1";"2018/5/8";"2018/7/5";"2018/7/6";"2018/09/28";"2018/11/17";"2018/12/24";"2018/12/25";"2018/12/26"})</f>
        <v>250</v>
      </c>
      <c r="T49" s="231">
        <f t="shared" si="5"/>
        <v>115</v>
      </c>
      <c r="U49" s="231">
        <f t="shared" si="6"/>
        <v>365</v>
      </c>
      <c r="V49" s="306">
        <f t="shared" si="2"/>
        <v>0</v>
      </c>
      <c r="W49" s="309">
        <f t="shared" si="3"/>
        <v>0</v>
      </c>
      <c r="X49" s="579">
        <f t="shared" si="4"/>
        <v>0</v>
      </c>
      <c r="Y49" s="189">
        <v>0</v>
      </c>
    </row>
    <row r="50" spans="1:25" x14ac:dyDescent="0.2">
      <c r="A50" s="235" t="s">
        <v>67</v>
      </c>
      <c r="B50" s="236" t="s">
        <v>54</v>
      </c>
      <c r="C50" s="236" t="s">
        <v>67</v>
      </c>
      <c r="D50" s="564" t="str">
        <f>VLOOKUP(C50,'Seznam HS - nemaš'!$A$1:$B$96,2,FALSE)</f>
        <v>401200</v>
      </c>
      <c r="E50" s="237">
        <v>142</v>
      </c>
      <c r="F50" s="238" t="s">
        <v>567</v>
      </c>
      <c r="G50" s="238" t="s">
        <v>569</v>
      </c>
      <c r="H50" s="303">
        <f>+IF(ISBLANK(I50),0,VLOOKUP(I50,'8Příloha_2_ceník_pravid_úklid'!$B$9:$C$30,2,0))</f>
        <v>12</v>
      </c>
      <c r="I50" s="273" t="s">
        <v>4</v>
      </c>
      <c r="J50" s="241">
        <v>26.6</v>
      </c>
      <c r="K50" s="237" t="s">
        <v>51</v>
      </c>
      <c r="L50" s="310" t="s">
        <v>559</v>
      </c>
      <c r="M50" s="237" t="s">
        <v>49</v>
      </c>
      <c r="N50" s="229" t="s">
        <v>501</v>
      </c>
      <c r="O50" s="230">
        <v>0</v>
      </c>
      <c r="P50" s="230">
        <v>0</v>
      </c>
      <c r="Q50" s="230">
        <v>0</v>
      </c>
      <c r="R50" s="230">
        <v>0</v>
      </c>
      <c r="S50" s="231">
        <f>NETWORKDAYS.INTL(DATE(2018,1,1),DATE(2018,12,31),1,{"2018/1/1";"2018/3/30";"2018/4/2";"2018/5/1";"2018/5/8";"2018/7/5";"2018/7/6";"2018/09/28";"2018/11/17";"2018/12/24";"2018/12/25";"2018/12/26"})</f>
        <v>250</v>
      </c>
      <c r="T50" s="231">
        <f t="shared" si="5"/>
        <v>115</v>
      </c>
      <c r="U50" s="231">
        <f t="shared" si="6"/>
        <v>365</v>
      </c>
      <c r="V50" s="306">
        <f t="shared" si="2"/>
        <v>0</v>
      </c>
      <c r="W50" s="309">
        <f t="shared" si="3"/>
        <v>0</v>
      </c>
      <c r="X50" s="579">
        <f t="shared" si="4"/>
        <v>0</v>
      </c>
      <c r="Y50" s="189">
        <v>0</v>
      </c>
    </row>
    <row r="51" spans="1:25" x14ac:dyDescent="0.2">
      <c r="A51" s="235" t="s">
        <v>67</v>
      </c>
      <c r="B51" s="236" t="s">
        <v>54</v>
      </c>
      <c r="C51" s="236" t="s">
        <v>67</v>
      </c>
      <c r="D51" s="564" t="str">
        <f>VLOOKUP(C51,'Seznam HS - nemaš'!$A$1:$B$96,2,FALSE)</f>
        <v>401200</v>
      </c>
      <c r="E51" s="237">
        <v>143</v>
      </c>
      <c r="F51" s="238" t="s">
        <v>567</v>
      </c>
      <c r="G51" s="238" t="s">
        <v>569</v>
      </c>
      <c r="H51" s="303">
        <f>+IF(ISBLANK(I51),0,VLOOKUP(I51,'8Příloha_2_ceník_pravid_úklid'!$B$9:$C$30,2,0))</f>
        <v>12</v>
      </c>
      <c r="I51" s="273" t="s">
        <v>4</v>
      </c>
      <c r="J51" s="241">
        <v>31</v>
      </c>
      <c r="K51" s="237" t="s">
        <v>51</v>
      </c>
      <c r="L51" s="310" t="s">
        <v>559</v>
      </c>
      <c r="M51" s="237" t="s">
        <v>49</v>
      </c>
      <c r="N51" s="229" t="s">
        <v>501</v>
      </c>
      <c r="O51" s="230">
        <v>0</v>
      </c>
      <c r="P51" s="230">
        <v>0</v>
      </c>
      <c r="Q51" s="230">
        <v>0</v>
      </c>
      <c r="R51" s="230">
        <v>0</v>
      </c>
      <c r="S51" s="231">
        <f>NETWORKDAYS.INTL(DATE(2018,1,1),DATE(2018,12,31),1,{"2018/1/1";"2018/3/30";"2018/4/2";"2018/5/1";"2018/5/8";"2018/7/5";"2018/7/6";"2018/09/28";"2018/11/17";"2018/12/24";"2018/12/25";"2018/12/26"})</f>
        <v>250</v>
      </c>
      <c r="T51" s="231">
        <f t="shared" si="5"/>
        <v>115</v>
      </c>
      <c r="U51" s="231">
        <f t="shared" si="6"/>
        <v>365</v>
      </c>
      <c r="V51" s="306">
        <f t="shared" si="2"/>
        <v>0</v>
      </c>
      <c r="W51" s="309">
        <f t="shared" si="3"/>
        <v>0</v>
      </c>
      <c r="X51" s="579">
        <f t="shared" si="4"/>
        <v>0</v>
      </c>
      <c r="Y51" s="189">
        <v>0</v>
      </c>
    </row>
    <row r="52" spans="1:25" x14ac:dyDescent="0.2">
      <c r="A52" s="235" t="s">
        <v>67</v>
      </c>
      <c r="B52" s="236" t="s">
        <v>54</v>
      </c>
      <c r="C52" s="236" t="s">
        <v>67</v>
      </c>
      <c r="D52" s="564" t="str">
        <f>VLOOKUP(C52,'Seznam HS - nemaš'!$A$1:$B$96,2,FALSE)</f>
        <v>401200</v>
      </c>
      <c r="E52" s="237">
        <v>144</v>
      </c>
      <c r="F52" s="238" t="s">
        <v>571</v>
      </c>
      <c r="G52" s="238" t="s">
        <v>568</v>
      </c>
      <c r="H52" s="303">
        <f>+IF(ISBLANK(I52),0,VLOOKUP(I52,'8Příloha_2_ceník_pravid_úklid'!$B$9:$C$30,2,0))</f>
        <v>12</v>
      </c>
      <c r="I52" s="273" t="s">
        <v>4</v>
      </c>
      <c r="J52" s="241">
        <v>16.7</v>
      </c>
      <c r="K52" s="237" t="s">
        <v>51</v>
      </c>
      <c r="L52" s="310" t="s">
        <v>559</v>
      </c>
      <c r="M52" s="237" t="s">
        <v>49</v>
      </c>
      <c r="N52" s="229" t="s">
        <v>501</v>
      </c>
      <c r="O52" s="230">
        <v>0</v>
      </c>
      <c r="P52" s="230">
        <v>0</v>
      </c>
      <c r="Q52" s="230">
        <v>0</v>
      </c>
      <c r="R52" s="230">
        <v>0</v>
      </c>
      <c r="S52" s="231">
        <f>NETWORKDAYS.INTL(DATE(2018,1,1),DATE(2018,12,31),1,{"2018/1/1";"2018/3/30";"2018/4/2";"2018/5/1";"2018/5/8";"2018/7/5";"2018/7/6";"2018/09/28";"2018/11/17";"2018/12/24";"2018/12/25";"2018/12/26"})</f>
        <v>250</v>
      </c>
      <c r="T52" s="231">
        <f t="shared" si="5"/>
        <v>115</v>
      </c>
      <c r="U52" s="231">
        <f t="shared" si="6"/>
        <v>365</v>
      </c>
      <c r="V52" s="306">
        <f t="shared" si="2"/>
        <v>0</v>
      </c>
      <c r="W52" s="309">
        <f t="shared" si="3"/>
        <v>0</v>
      </c>
      <c r="X52" s="579">
        <f t="shared" si="4"/>
        <v>0</v>
      </c>
      <c r="Y52" s="189">
        <v>0</v>
      </c>
    </row>
    <row r="53" spans="1:25" x14ac:dyDescent="0.2">
      <c r="A53" s="235" t="s">
        <v>527</v>
      </c>
      <c r="B53" s="236" t="s">
        <v>54</v>
      </c>
      <c r="C53" s="236"/>
      <c r="D53" s="564">
        <f>VLOOKUP(C53,'Seznam HS - nemaš'!$A$1:$B$96,2,FALSE)</f>
        <v>0</v>
      </c>
      <c r="E53" s="237">
        <v>145</v>
      </c>
      <c r="F53" s="238" t="s">
        <v>1749</v>
      </c>
      <c r="G53" s="238" t="s">
        <v>66</v>
      </c>
      <c r="H53" s="30">
        <f>+IF(ISBLANK(I53),0,VLOOKUP(I53,'8Příloha_2_ceník_pravid_úklid'!$B$9:$C$30,2,0))</f>
        <v>17</v>
      </c>
      <c r="I53" s="273" t="s">
        <v>13</v>
      </c>
      <c r="J53" s="241">
        <v>3</v>
      </c>
      <c r="K53" s="237" t="s">
        <v>51</v>
      </c>
      <c r="L53" s="310" t="s">
        <v>66</v>
      </c>
      <c r="M53" s="237" t="s">
        <v>49</v>
      </c>
      <c r="N53" s="229" t="s">
        <v>501</v>
      </c>
      <c r="O53" s="230">
        <v>0</v>
      </c>
      <c r="P53" s="230">
        <v>0</v>
      </c>
      <c r="Q53" s="230">
        <v>0</v>
      </c>
      <c r="R53" s="230">
        <v>0</v>
      </c>
      <c r="S53" s="231">
        <f>NETWORKDAYS.INTL(DATE(2018,1,1),DATE(2018,12,31),1,{"2018/1/1";"2018/3/30";"2018/4/2";"2018/5/1";"2018/5/8";"2018/7/5";"2018/7/6";"2018/09/28";"2018/11/17";"2018/12/24";"2018/12/25";"2018/12/26"})</f>
        <v>250</v>
      </c>
      <c r="T53" s="231">
        <f t="shared" si="5"/>
        <v>115</v>
      </c>
      <c r="U53" s="231">
        <f t="shared" si="6"/>
        <v>365</v>
      </c>
      <c r="V53" s="306">
        <f t="shared" si="2"/>
        <v>0</v>
      </c>
      <c r="W53" s="307">
        <f t="shared" si="3"/>
        <v>0</v>
      </c>
      <c r="X53" s="576">
        <f t="shared" si="4"/>
        <v>0</v>
      </c>
      <c r="Y53" s="576">
        <f t="shared" si="4"/>
        <v>0</v>
      </c>
    </row>
    <row r="54" spans="1:25" ht="15.75" customHeight="1" x14ac:dyDescent="0.2">
      <c r="A54" s="276" t="s">
        <v>527</v>
      </c>
      <c r="B54" s="23" t="s">
        <v>328</v>
      </c>
      <c r="C54" s="23" t="s">
        <v>164</v>
      </c>
      <c r="D54" s="567" t="str">
        <f>VLOOKUP(C54,'Seznam HS - nemaš'!$A$1:$B$96,2,FALSE)</f>
        <v>406300</v>
      </c>
      <c r="E54" s="22">
        <v>201</v>
      </c>
      <c r="F54" s="154" t="s">
        <v>336</v>
      </c>
      <c r="G54" s="154" t="s">
        <v>1707</v>
      </c>
      <c r="H54" s="30">
        <f>+IF(ISBLANK(I54),0,VLOOKUP(I54,'8Příloha_2_ceník_pravid_úklid'!$B$9:$C$30,2,0))</f>
        <v>6</v>
      </c>
      <c r="I54" s="143" t="s">
        <v>1</v>
      </c>
      <c r="J54" s="145">
        <v>21.4</v>
      </c>
      <c r="K54" s="22" t="s">
        <v>51</v>
      </c>
      <c r="L54" s="198" t="s">
        <v>22</v>
      </c>
      <c r="M54" s="22" t="s">
        <v>49</v>
      </c>
      <c r="N54" s="19">
        <f>IF((VLOOKUP(I54,'8Příloha_2_ceník_pravid_úklid'!$B$9:$I$30,8,0))=0,VLOOKUP(I54,'8Příloha_2_ceník_pravid_úklid'!$B$9:$K$30,10,0),VLOOKUP(I54,'8Příloha_2_ceník_pravid_úklid'!$B$9:$I$30,8,0))</f>
        <v>0</v>
      </c>
      <c r="O54" s="20">
        <v>2</v>
      </c>
      <c r="P54" s="20">
        <v>1</v>
      </c>
      <c r="Q54" s="20">
        <v>2</v>
      </c>
      <c r="R54" s="20">
        <v>1</v>
      </c>
      <c r="S54" s="21">
        <f>NETWORKDAYS.INTL(DATE(2018,1,1),DATE(2018,12,31),1,{"2018/1/1";"2018/3/30";"2018/4/2";"2018/5/1";"2018/5/8";"2018/7/5";"2018/7/6";"2018/09/28";"2018/11/17";"2018/12/24";"2018/12/25";"2018/12/26"})</f>
        <v>250</v>
      </c>
      <c r="T54" s="21">
        <f t="shared" si="5"/>
        <v>115</v>
      </c>
      <c r="U54" s="21">
        <f t="shared" si="6"/>
        <v>365</v>
      </c>
      <c r="V54" s="547">
        <f t="shared" si="2"/>
        <v>730</v>
      </c>
      <c r="W54" s="548">
        <f t="shared" si="3"/>
        <v>0</v>
      </c>
      <c r="X54" s="581">
        <f t="shared" si="4"/>
        <v>0</v>
      </c>
      <c r="Y54" s="189">
        <v>0</v>
      </c>
    </row>
    <row r="55" spans="1:25" ht="15.75" customHeight="1" x14ac:dyDescent="0.2">
      <c r="A55" s="276" t="s">
        <v>527</v>
      </c>
      <c r="B55" s="23" t="s">
        <v>328</v>
      </c>
      <c r="C55" s="23" t="s">
        <v>164</v>
      </c>
      <c r="D55" s="567" t="str">
        <f>VLOOKUP(C55,'Seznam HS - nemaš'!$A$1:$B$96,2,FALSE)</f>
        <v>406300</v>
      </c>
      <c r="E55" s="22">
        <v>201</v>
      </c>
      <c r="F55" s="154" t="s">
        <v>53</v>
      </c>
      <c r="G55" s="154"/>
      <c r="H55" s="30">
        <f>+IF(ISBLANK(I55),0,VLOOKUP(I55,'8Příloha_2_ceník_pravid_úklid'!$B$9:$C$30,2,0))</f>
        <v>6</v>
      </c>
      <c r="I55" s="143" t="s">
        <v>1</v>
      </c>
      <c r="J55" s="145">
        <v>21.94</v>
      </c>
      <c r="K55" s="22" t="s">
        <v>64</v>
      </c>
      <c r="L55" s="198" t="s">
        <v>22</v>
      </c>
      <c r="M55" s="22" t="s">
        <v>49</v>
      </c>
      <c r="N55" s="19">
        <f>IF((VLOOKUP(I55,'8Příloha_2_ceník_pravid_úklid'!$B$9:$I$30,8,0))=0,VLOOKUP(I55,'8Příloha_2_ceník_pravid_úklid'!$B$9:$K$30,10,0),VLOOKUP(I55,'8Příloha_2_ceník_pravid_úklid'!$B$9:$I$30,8,0))</f>
        <v>0</v>
      </c>
      <c r="O55" s="20">
        <v>2</v>
      </c>
      <c r="P55" s="20">
        <v>1</v>
      </c>
      <c r="Q55" s="20">
        <v>2</v>
      </c>
      <c r="R55" s="20">
        <v>1</v>
      </c>
      <c r="S55" s="21">
        <f>NETWORKDAYS.INTL(DATE(2018,1,1),DATE(2018,12,31),1,{"2018/1/1";"2018/3/30";"2018/4/2";"2018/5/1";"2018/5/8";"2018/7/5";"2018/7/6";"2018/09/28";"2018/11/17";"2018/12/24";"2018/12/25";"2018/12/26"})</f>
        <v>250</v>
      </c>
      <c r="T55" s="21">
        <f t="shared" si="5"/>
        <v>115</v>
      </c>
      <c r="U55" s="21">
        <f t="shared" si="6"/>
        <v>365</v>
      </c>
      <c r="V55" s="547">
        <f t="shared" si="2"/>
        <v>730</v>
      </c>
      <c r="W55" s="548">
        <f t="shared" si="3"/>
        <v>0</v>
      </c>
      <c r="X55" s="581">
        <f t="shared" si="4"/>
        <v>0</v>
      </c>
      <c r="Y55" s="189">
        <v>0</v>
      </c>
    </row>
    <row r="56" spans="1:25" ht="17.25" customHeight="1" x14ac:dyDescent="0.2">
      <c r="A56" s="276" t="s">
        <v>527</v>
      </c>
      <c r="B56" s="23" t="s">
        <v>328</v>
      </c>
      <c r="C56" s="23" t="s">
        <v>164</v>
      </c>
      <c r="D56" s="567" t="str">
        <f>VLOOKUP(C56,'Seznam HS - nemaš'!$A$1:$B$96,2,FALSE)</f>
        <v>406300</v>
      </c>
      <c r="E56" s="22" t="s">
        <v>1731</v>
      </c>
      <c r="F56" s="154" t="s">
        <v>336</v>
      </c>
      <c r="G56" s="154"/>
      <c r="H56" s="30">
        <f>+IF(ISBLANK(I56),0,VLOOKUP(I56,'8Příloha_2_ceník_pravid_úklid'!$B$9:$C$30,2,0))</f>
        <v>8</v>
      </c>
      <c r="I56" s="143" t="s">
        <v>11</v>
      </c>
      <c r="J56" s="145">
        <v>19.7</v>
      </c>
      <c r="K56" s="22" t="s">
        <v>64</v>
      </c>
      <c r="L56" s="198" t="s">
        <v>22</v>
      </c>
      <c r="M56" s="22" t="s">
        <v>49</v>
      </c>
      <c r="N56" s="19">
        <f>IF((VLOOKUP(I56,'8Příloha_2_ceník_pravid_úklid'!$B$9:$I$30,8,0))=0,VLOOKUP(I56,'8Příloha_2_ceník_pravid_úklid'!$B$9:$K$30,10,0),VLOOKUP(I56,'8Příloha_2_ceník_pravid_úklid'!$B$9:$I$30,8,0))</f>
        <v>0</v>
      </c>
      <c r="O56" s="20">
        <v>2</v>
      </c>
      <c r="P56" s="20">
        <v>1</v>
      </c>
      <c r="Q56" s="20">
        <v>2</v>
      </c>
      <c r="R56" s="20">
        <v>1</v>
      </c>
      <c r="S56" s="21">
        <f>NETWORKDAYS.INTL(DATE(2018,1,1),DATE(2018,12,31),1,{"2018/1/1";"2018/3/30";"2018/4/2";"2018/5/1";"2018/5/8";"2018/7/5";"2018/7/6";"2018/09/28";"2018/11/17";"2018/12/24";"2018/12/25";"2018/12/26"})</f>
        <v>250</v>
      </c>
      <c r="T56" s="21">
        <f t="shared" si="5"/>
        <v>115</v>
      </c>
      <c r="U56" s="21">
        <f t="shared" si="6"/>
        <v>365</v>
      </c>
      <c r="V56" s="547">
        <f t="shared" si="2"/>
        <v>730</v>
      </c>
      <c r="W56" s="548">
        <f t="shared" si="3"/>
        <v>0</v>
      </c>
      <c r="X56" s="581">
        <f t="shared" si="4"/>
        <v>0</v>
      </c>
      <c r="Y56" s="189">
        <v>0</v>
      </c>
    </row>
    <row r="57" spans="1:25" ht="15.75" customHeight="1" x14ac:dyDescent="0.2">
      <c r="A57" s="276" t="s">
        <v>527</v>
      </c>
      <c r="B57" s="23" t="s">
        <v>328</v>
      </c>
      <c r="C57" s="23" t="s">
        <v>164</v>
      </c>
      <c r="D57" s="567" t="str">
        <f>VLOOKUP(C57,'Seznam HS - nemaš'!$A$1:$B$96,2,FALSE)</f>
        <v>406300</v>
      </c>
      <c r="E57" s="22">
        <v>202</v>
      </c>
      <c r="F57" s="154" t="s">
        <v>53</v>
      </c>
      <c r="G57" s="154"/>
      <c r="H57" s="30">
        <f>+IF(ISBLANK(I57),0,VLOOKUP(I57,'8Příloha_2_ceník_pravid_úklid'!$B$9:$C$30,2,0))</f>
        <v>6</v>
      </c>
      <c r="I57" s="143" t="s">
        <v>1</v>
      </c>
      <c r="J57" s="145">
        <v>55.58</v>
      </c>
      <c r="K57" s="22" t="s">
        <v>64</v>
      </c>
      <c r="L57" s="198" t="s">
        <v>22</v>
      </c>
      <c r="M57" s="22" t="s">
        <v>49</v>
      </c>
      <c r="N57" s="19">
        <f>IF((VLOOKUP(I57,'8Příloha_2_ceník_pravid_úklid'!$B$9:$I$30,8,0))=0,VLOOKUP(I57,'8Příloha_2_ceník_pravid_úklid'!$B$9:$K$30,10,0),VLOOKUP(I57,'8Příloha_2_ceník_pravid_úklid'!$B$9:$I$30,8,0))</f>
        <v>0</v>
      </c>
      <c r="O57" s="20">
        <v>2</v>
      </c>
      <c r="P57" s="20">
        <v>1</v>
      </c>
      <c r="Q57" s="20">
        <v>2</v>
      </c>
      <c r="R57" s="20">
        <v>1</v>
      </c>
      <c r="S57" s="21">
        <f>NETWORKDAYS.INTL(DATE(2018,1,1),DATE(2018,12,31),1,{"2018/1/1";"2018/3/30";"2018/4/2";"2018/5/1";"2018/5/8";"2018/7/5";"2018/7/6";"2018/09/28";"2018/11/17";"2018/12/24";"2018/12/25";"2018/12/26"})</f>
        <v>250</v>
      </c>
      <c r="T57" s="21">
        <f t="shared" si="5"/>
        <v>115</v>
      </c>
      <c r="U57" s="21">
        <f t="shared" si="6"/>
        <v>365</v>
      </c>
      <c r="V57" s="547">
        <f t="shared" si="2"/>
        <v>730</v>
      </c>
      <c r="W57" s="548">
        <f t="shared" si="3"/>
        <v>0</v>
      </c>
      <c r="X57" s="581">
        <f t="shared" si="4"/>
        <v>0</v>
      </c>
      <c r="Y57" s="189">
        <v>0</v>
      </c>
    </row>
    <row r="58" spans="1:25" ht="15.75" customHeight="1" x14ac:dyDescent="0.2">
      <c r="A58" s="276" t="s">
        <v>527</v>
      </c>
      <c r="B58" s="23" t="s">
        <v>328</v>
      </c>
      <c r="C58" s="23" t="s">
        <v>164</v>
      </c>
      <c r="D58" s="567" t="str">
        <f>VLOOKUP(C58,'Seznam HS - nemaš'!$A$1:$B$96,2,FALSE)</f>
        <v>406300</v>
      </c>
      <c r="E58" s="22">
        <v>203</v>
      </c>
      <c r="F58" s="154" t="s">
        <v>591</v>
      </c>
      <c r="G58" s="154"/>
      <c r="H58" s="30">
        <f>+IF(ISBLANK(I58),0,VLOOKUP(I58,'8Příloha_2_ceník_pravid_úklid'!$B$9:$C$30,2,0))</f>
        <v>2</v>
      </c>
      <c r="I58" s="143" t="s">
        <v>2</v>
      </c>
      <c r="J58" s="145">
        <v>32.700000000000003</v>
      </c>
      <c r="K58" s="22" t="s">
        <v>51</v>
      </c>
      <c r="L58" s="156" t="s">
        <v>21</v>
      </c>
      <c r="M58" s="22" t="s">
        <v>49</v>
      </c>
      <c r="N58" s="19">
        <f>IF((VLOOKUP(I58,'8Příloha_2_ceník_pravid_úklid'!$B$9:$I$30,8,0))=0,VLOOKUP(I58,'8Příloha_2_ceník_pravid_úklid'!$B$9:$K$30,10,0),VLOOKUP(I58,'8Příloha_2_ceník_pravid_úklid'!$B$9:$I$30,8,0))</f>
        <v>0</v>
      </c>
      <c r="O58" s="20">
        <v>1</v>
      </c>
      <c r="P58" s="20">
        <v>1</v>
      </c>
      <c r="Q58" s="20">
        <v>0</v>
      </c>
      <c r="R58" s="20">
        <v>0</v>
      </c>
      <c r="S58" s="21">
        <f>NETWORKDAYS.INTL(DATE(2018,1,1),DATE(2018,12,31),1,{"2018/1/1";"2018/3/30";"2018/4/2";"2018/5/1";"2018/5/8";"2018/7/5";"2018/7/6";"2018/09/28";"2018/11/17";"2018/12/24";"2018/12/25";"2018/12/26"})</f>
        <v>250</v>
      </c>
      <c r="T58" s="21">
        <f t="shared" si="5"/>
        <v>115</v>
      </c>
      <c r="U58" s="21">
        <f t="shared" si="6"/>
        <v>365</v>
      </c>
      <c r="V58" s="547">
        <f t="shared" si="2"/>
        <v>250</v>
      </c>
      <c r="W58" s="548">
        <f t="shared" si="3"/>
        <v>0</v>
      </c>
      <c r="X58" s="581">
        <f t="shared" si="4"/>
        <v>0</v>
      </c>
      <c r="Y58" s="189">
        <v>0</v>
      </c>
    </row>
    <row r="59" spans="1:25" ht="15.75" customHeight="1" x14ac:dyDescent="0.2">
      <c r="A59" s="276" t="s">
        <v>527</v>
      </c>
      <c r="B59" s="23" t="s">
        <v>328</v>
      </c>
      <c r="C59" s="23" t="s">
        <v>164</v>
      </c>
      <c r="D59" s="567" t="str">
        <f>VLOOKUP(C59,'Seznam HS - nemaš'!$A$1:$B$96,2,FALSE)</f>
        <v>406300</v>
      </c>
      <c r="E59" s="22">
        <v>204</v>
      </c>
      <c r="F59" s="154" t="s">
        <v>590</v>
      </c>
      <c r="G59" s="154"/>
      <c r="H59" s="30">
        <f>+IF(ISBLANK(I59),0,VLOOKUP(I59,'8Příloha_2_ceník_pravid_úklid'!$B$9:$C$30,2,0))</f>
        <v>4</v>
      </c>
      <c r="I59" s="143" t="s">
        <v>9</v>
      </c>
      <c r="J59" s="145">
        <v>17.600000000000001</v>
      </c>
      <c r="K59" s="22" t="s">
        <v>51</v>
      </c>
      <c r="L59" s="198" t="s">
        <v>537</v>
      </c>
      <c r="M59" s="22" t="s">
        <v>49</v>
      </c>
      <c r="N59" s="19">
        <f>IF((VLOOKUP(I59,'8Příloha_2_ceník_pravid_úklid'!$B$9:$I$30,8,0))=0,VLOOKUP(I59,'8Příloha_2_ceník_pravid_úklid'!$B$9:$K$30,10,0),VLOOKUP(I59,'8Příloha_2_ceník_pravid_úklid'!$B$9:$I$30,8,0))</f>
        <v>0</v>
      </c>
      <c r="O59" s="20">
        <v>1</v>
      </c>
      <c r="P59" s="20">
        <v>1</v>
      </c>
      <c r="Q59" s="20">
        <v>1</v>
      </c>
      <c r="R59" s="20">
        <v>1</v>
      </c>
      <c r="S59" s="21">
        <f>NETWORKDAYS.INTL(DATE(2018,1,1),DATE(2018,12,31),1,{"2018/1/1";"2018/3/30";"2018/4/2";"2018/5/1";"2018/5/8";"2018/7/5";"2018/7/6";"2018/09/28";"2018/11/17";"2018/12/24";"2018/12/25";"2018/12/26"})</f>
        <v>250</v>
      </c>
      <c r="T59" s="21">
        <f t="shared" si="5"/>
        <v>115</v>
      </c>
      <c r="U59" s="21">
        <f t="shared" si="6"/>
        <v>365</v>
      </c>
      <c r="V59" s="547">
        <f t="shared" si="2"/>
        <v>365</v>
      </c>
      <c r="W59" s="548">
        <f t="shared" si="3"/>
        <v>0</v>
      </c>
      <c r="X59" s="581">
        <f t="shared" si="4"/>
        <v>0</v>
      </c>
      <c r="Y59" s="189">
        <v>0</v>
      </c>
    </row>
    <row r="60" spans="1:25" ht="15.75" customHeight="1" x14ac:dyDescent="0.2">
      <c r="A60" s="276" t="s">
        <v>527</v>
      </c>
      <c r="B60" s="23" t="s">
        <v>328</v>
      </c>
      <c r="C60" s="23" t="s">
        <v>164</v>
      </c>
      <c r="D60" s="567" t="str">
        <f>VLOOKUP(C60,'Seznam HS - nemaš'!$A$1:$B$96,2,FALSE)</f>
        <v>406300</v>
      </c>
      <c r="E60" s="22">
        <v>205</v>
      </c>
      <c r="F60" s="154" t="s">
        <v>589</v>
      </c>
      <c r="G60" s="154"/>
      <c r="H60" s="30">
        <f>+IF(ISBLANK(I60),0,VLOOKUP(I60,'8Příloha_2_ceník_pravid_úklid'!$B$9:$C$30,2,0))</f>
        <v>4</v>
      </c>
      <c r="I60" s="143" t="s">
        <v>9</v>
      </c>
      <c r="J60" s="145">
        <v>15.95</v>
      </c>
      <c r="K60" s="22" t="s">
        <v>51</v>
      </c>
      <c r="L60" s="156" t="s">
        <v>21</v>
      </c>
      <c r="M60" s="22" t="s">
        <v>49</v>
      </c>
      <c r="N60" s="19">
        <f>IF((VLOOKUP(I60,'8Příloha_2_ceník_pravid_úklid'!$B$9:$I$30,8,0))=0,VLOOKUP(I60,'8Příloha_2_ceník_pravid_úklid'!$B$9:$K$30,10,0),VLOOKUP(I60,'8Příloha_2_ceník_pravid_úklid'!$B$9:$I$30,8,0))</f>
        <v>0</v>
      </c>
      <c r="O60" s="20">
        <v>1</v>
      </c>
      <c r="P60" s="20">
        <v>1</v>
      </c>
      <c r="Q60" s="20">
        <v>0</v>
      </c>
      <c r="R60" s="20">
        <v>0</v>
      </c>
      <c r="S60" s="21">
        <f>NETWORKDAYS.INTL(DATE(2018,1,1),DATE(2018,12,31),1,{"2018/1/1";"2018/3/30";"2018/4/2";"2018/5/1";"2018/5/8";"2018/7/5";"2018/7/6";"2018/09/28";"2018/11/17";"2018/12/24";"2018/12/25";"2018/12/26"})</f>
        <v>250</v>
      </c>
      <c r="T60" s="21">
        <f t="shared" si="5"/>
        <v>115</v>
      </c>
      <c r="U60" s="21">
        <f t="shared" si="6"/>
        <v>365</v>
      </c>
      <c r="V60" s="547">
        <f t="shared" si="2"/>
        <v>250</v>
      </c>
      <c r="W60" s="548">
        <f t="shared" si="3"/>
        <v>0</v>
      </c>
      <c r="X60" s="581">
        <f t="shared" si="4"/>
        <v>0</v>
      </c>
      <c r="Y60" s="189">
        <v>0</v>
      </c>
    </row>
    <row r="61" spans="1:25" ht="15.75" customHeight="1" x14ac:dyDescent="0.2">
      <c r="A61" s="276" t="s">
        <v>527</v>
      </c>
      <c r="B61" s="23" t="s">
        <v>328</v>
      </c>
      <c r="C61" s="23" t="s">
        <v>164</v>
      </c>
      <c r="D61" s="567" t="str">
        <f>VLOOKUP(C61,'Seznam HS - nemaš'!$A$1:$B$96,2,FALSE)</f>
        <v>406300</v>
      </c>
      <c r="E61" s="22">
        <v>206</v>
      </c>
      <c r="F61" s="154" t="s">
        <v>588</v>
      </c>
      <c r="G61" s="154" t="s">
        <v>544</v>
      </c>
      <c r="H61" s="30">
        <f>+IF(ISBLANK(I61),0,VLOOKUP(I61,'8Příloha_2_ceník_pravid_úklid'!$B$9:$C$30,2,0))</f>
        <v>2</v>
      </c>
      <c r="I61" s="143" t="s">
        <v>2</v>
      </c>
      <c r="J61" s="145">
        <v>14.8</v>
      </c>
      <c r="K61" s="22" t="s">
        <v>51</v>
      </c>
      <c r="L61" s="156" t="s">
        <v>21</v>
      </c>
      <c r="M61" s="22" t="s">
        <v>49</v>
      </c>
      <c r="N61" s="19">
        <f>IF((VLOOKUP(I61,'8Příloha_2_ceník_pravid_úklid'!$B$9:$I$30,8,0))=0,VLOOKUP(I61,'8Příloha_2_ceník_pravid_úklid'!$B$9:$K$30,10,0),VLOOKUP(I61,'8Příloha_2_ceník_pravid_úklid'!$B$9:$I$30,8,0))</f>
        <v>0</v>
      </c>
      <c r="O61" s="20">
        <v>1</v>
      </c>
      <c r="P61" s="20">
        <v>1</v>
      </c>
      <c r="Q61" s="20">
        <v>0</v>
      </c>
      <c r="R61" s="20">
        <v>0</v>
      </c>
      <c r="S61" s="21">
        <f>NETWORKDAYS.INTL(DATE(2018,1,1),DATE(2018,12,31),1,{"2018/1/1";"2018/3/30";"2018/4/2";"2018/5/1";"2018/5/8";"2018/7/5";"2018/7/6";"2018/09/28";"2018/11/17";"2018/12/24";"2018/12/25";"2018/12/26"})</f>
        <v>250</v>
      </c>
      <c r="T61" s="21">
        <f t="shared" si="5"/>
        <v>115</v>
      </c>
      <c r="U61" s="21">
        <f t="shared" si="6"/>
        <v>365</v>
      </c>
      <c r="V61" s="547">
        <f t="shared" si="2"/>
        <v>250</v>
      </c>
      <c r="W61" s="548">
        <f t="shared" si="3"/>
        <v>0</v>
      </c>
      <c r="X61" s="581">
        <f t="shared" si="4"/>
        <v>0</v>
      </c>
      <c r="Y61" s="189">
        <v>0</v>
      </c>
    </row>
    <row r="62" spans="1:25" ht="15.75" customHeight="1" x14ac:dyDescent="0.2">
      <c r="A62" s="276" t="s">
        <v>527</v>
      </c>
      <c r="B62" s="23" t="s">
        <v>328</v>
      </c>
      <c r="C62" s="23" t="s">
        <v>164</v>
      </c>
      <c r="D62" s="567" t="str">
        <f>VLOOKUP(C62,'Seznam HS - nemaš'!$A$1:$B$96,2,FALSE)</f>
        <v>406300</v>
      </c>
      <c r="E62" s="22">
        <v>207</v>
      </c>
      <c r="F62" s="154" t="s">
        <v>583</v>
      </c>
      <c r="G62" s="154"/>
      <c r="H62" s="30">
        <f>+IF(ISBLANK(I62),0,VLOOKUP(I62,'8Příloha_2_ceník_pravid_úklid'!$B$9:$C$30,2,0))</f>
        <v>4</v>
      </c>
      <c r="I62" s="143" t="s">
        <v>9</v>
      </c>
      <c r="J62" s="145">
        <v>9.2100000000000009</v>
      </c>
      <c r="K62" s="22" t="s">
        <v>52</v>
      </c>
      <c r="L62" s="198" t="s">
        <v>584</v>
      </c>
      <c r="M62" s="22" t="s">
        <v>49</v>
      </c>
      <c r="N62" s="19">
        <f>IF((VLOOKUP(I62,'8Příloha_2_ceník_pravid_úklid'!$B$9:$I$30,8,0))=0,VLOOKUP(I62,'8Příloha_2_ceník_pravid_úklid'!$B$9:$K$30,10,0),VLOOKUP(I62,'8Příloha_2_ceník_pravid_úklid'!$B$9:$I$30,8,0))</f>
        <v>0</v>
      </c>
      <c r="O62" s="20">
        <v>1</v>
      </c>
      <c r="P62" s="20">
        <f>2/5</f>
        <v>0.4</v>
      </c>
      <c r="Q62" s="20">
        <v>0</v>
      </c>
      <c r="R62" s="20">
        <v>0</v>
      </c>
      <c r="S62" s="21">
        <f>NETWORKDAYS.INTL(DATE(2018,1,1),DATE(2018,12,31),1,{"2018/1/1";"2018/3/30";"2018/4/2";"2018/5/1";"2018/5/8";"2018/7/5";"2018/7/6";"2018/09/28";"2018/11/17";"2018/12/24";"2018/12/25";"2018/12/26"})</f>
        <v>250</v>
      </c>
      <c r="T62" s="21">
        <f t="shared" si="5"/>
        <v>115</v>
      </c>
      <c r="U62" s="21">
        <f t="shared" si="6"/>
        <v>365</v>
      </c>
      <c r="V62" s="547">
        <f t="shared" si="2"/>
        <v>100</v>
      </c>
      <c r="W62" s="548">
        <f t="shared" si="3"/>
        <v>0</v>
      </c>
      <c r="X62" s="581">
        <f t="shared" si="4"/>
        <v>0</v>
      </c>
      <c r="Y62" s="189">
        <v>0</v>
      </c>
    </row>
    <row r="63" spans="1:25" x14ac:dyDescent="0.2">
      <c r="A63" s="276" t="s">
        <v>527</v>
      </c>
      <c r="B63" s="23" t="s">
        <v>328</v>
      </c>
      <c r="C63" s="23" t="s">
        <v>164</v>
      </c>
      <c r="D63" s="567" t="str">
        <f>VLOOKUP(C63,'Seznam HS - nemaš'!$A$1:$B$96,2,FALSE)</f>
        <v>406300</v>
      </c>
      <c r="E63" s="22" t="s">
        <v>1732</v>
      </c>
      <c r="F63" s="154" t="s">
        <v>585</v>
      </c>
      <c r="G63" s="154" t="s">
        <v>567</v>
      </c>
      <c r="H63" s="30">
        <f>+IF(ISBLANK(I63),0,VLOOKUP(I63,'8Příloha_2_ceník_pravid_úklid'!$B$9:$C$30,2,0))</f>
        <v>7</v>
      </c>
      <c r="I63" s="143" t="s">
        <v>14</v>
      </c>
      <c r="J63" s="145">
        <v>3.09</v>
      </c>
      <c r="K63" s="22" t="s">
        <v>51</v>
      </c>
      <c r="L63" s="198" t="s">
        <v>22</v>
      </c>
      <c r="M63" s="22" t="s">
        <v>49</v>
      </c>
      <c r="N63" s="19">
        <f>IF((VLOOKUP(I63,'8Příloha_2_ceník_pravid_úklid'!$B$9:$I$30,8,0))=0,VLOOKUP(I63,'8Příloha_2_ceník_pravid_úklid'!$B$9:$K$30,10,0),VLOOKUP(I63,'8Příloha_2_ceník_pravid_úklid'!$B$9:$I$30,8,0))</f>
        <v>0</v>
      </c>
      <c r="O63" s="20">
        <v>2</v>
      </c>
      <c r="P63" s="20">
        <v>1</v>
      </c>
      <c r="Q63" s="20">
        <v>2</v>
      </c>
      <c r="R63" s="20">
        <v>1</v>
      </c>
      <c r="S63" s="21">
        <f>NETWORKDAYS.INTL(DATE(2018,1,1),DATE(2018,12,31),1,{"2018/1/1";"2018/3/30";"2018/4/2";"2018/5/1";"2018/5/8";"2018/7/5";"2018/7/6";"2018/09/28";"2018/11/17";"2018/12/24";"2018/12/25";"2018/12/26"})</f>
        <v>250</v>
      </c>
      <c r="T63" s="21">
        <f t="shared" si="5"/>
        <v>115</v>
      </c>
      <c r="U63" s="21">
        <f t="shared" si="6"/>
        <v>365</v>
      </c>
      <c r="V63" s="547">
        <f t="shared" si="2"/>
        <v>730</v>
      </c>
      <c r="W63" s="548">
        <f t="shared" si="3"/>
        <v>0</v>
      </c>
      <c r="X63" s="581">
        <f t="shared" si="4"/>
        <v>0</v>
      </c>
      <c r="Y63" s="189">
        <v>0</v>
      </c>
    </row>
    <row r="64" spans="1:25" ht="15.75" customHeight="1" x14ac:dyDescent="0.2">
      <c r="A64" s="276" t="s">
        <v>527</v>
      </c>
      <c r="B64" s="23" t="s">
        <v>328</v>
      </c>
      <c r="C64" s="23" t="s">
        <v>164</v>
      </c>
      <c r="D64" s="567" t="str">
        <f>VLOOKUP(C64,'Seznam HS - nemaš'!$A$1:$B$96,2,FALSE)</f>
        <v>406300</v>
      </c>
      <c r="E64" s="22">
        <v>208</v>
      </c>
      <c r="F64" s="154" t="s">
        <v>582</v>
      </c>
      <c r="G64" s="154"/>
      <c r="H64" s="30">
        <f>+IF(ISBLANK(I64),0,VLOOKUP(I64,'8Příloha_2_ceník_pravid_úklid'!$B$9:$C$30,2,0))</f>
        <v>2</v>
      </c>
      <c r="I64" s="143" t="s">
        <v>2</v>
      </c>
      <c r="J64" s="145">
        <v>11.9</v>
      </c>
      <c r="K64" s="22" t="s">
        <v>51</v>
      </c>
      <c r="L64" s="156" t="s">
        <v>21</v>
      </c>
      <c r="M64" s="22" t="s">
        <v>49</v>
      </c>
      <c r="N64" s="19">
        <f>IF((VLOOKUP(I64,'8Příloha_2_ceník_pravid_úklid'!$B$9:$I$30,8,0))=0,VLOOKUP(I64,'8Příloha_2_ceník_pravid_úklid'!$B$9:$K$30,10,0),VLOOKUP(I64,'8Příloha_2_ceník_pravid_úklid'!$B$9:$I$30,8,0))</f>
        <v>0</v>
      </c>
      <c r="O64" s="20">
        <v>1</v>
      </c>
      <c r="P64" s="20">
        <v>1</v>
      </c>
      <c r="Q64" s="20">
        <v>0</v>
      </c>
      <c r="R64" s="20">
        <v>0</v>
      </c>
      <c r="S64" s="21">
        <f>NETWORKDAYS.INTL(DATE(2018,1,1),DATE(2018,12,31),1,{"2018/1/1";"2018/3/30";"2018/4/2";"2018/5/1";"2018/5/8";"2018/7/5";"2018/7/6";"2018/09/28";"2018/11/17";"2018/12/24";"2018/12/25";"2018/12/26"})</f>
        <v>250</v>
      </c>
      <c r="T64" s="21">
        <f t="shared" si="5"/>
        <v>115</v>
      </c>
      <c r="U64" s="21">
        <f t="shared" si="6"/>
        <v>365</v>
      </c>
      <c r="V64" s="547">
        <f t="shared" si="2"/>
        <v>250</v>
      </c>
      <c r="W64" s="548">
        <f t="shared" si="3"/>
        <v>0</v>
      </c>
      <c r="X64" s="581">
        <f t="shared" si="4"/>
        <v>0</v>
      </c>
      <c r="Y64" s="189">
        <v>0</v>
      </c>
    </row>
    <row r="65" spans="1:25" ht="15.75" customHeight="1" x14ac:dyDescent="0.2">
      <c r="A65" s="276" t="s">
        <v>527</v>
      </c>
      <c r="B65" s="23" t="s">
        <v>328</v>
      </c>
      <c r="C65" s="23" t="s">
        <v>164</v>
      </c>
      <c r="D65" s="567" t="str">
        <f>VLOOKUP(C65,'Seznam HS - nemaš'!$A$1:$B$96,2,FALSE)</f>
        <v>406300</v>
      </c>
      <c r="E65" s="22">
        <v>209</v>
      </c>
      <c r="F65" s="154" t="s">
        <v>581</v>
      </c>
      <c r="G65" s="154"/>
      <c r="H65" s="30">
        <f>+IF(ISBLANK(I65),0,VLOOKUP(I65,'8Příloha_2_ceník_pravid_úklid'!$B$9:$C$30,2,0))</f>
        <v>4</v>
      </c>
      <c r="I65" s="143" t="s">
        <v>9</v>
      </c>
      <c r="J65" s="145">
        <v>12.3</v>
      </c>
      <c r="K65" s="22" t="s">
        <v>51</v>
      </c>
      <c r="L65" s="156" t="s">
        <v>21</v>
      </c>
      <c r="M65" s="22" t="s">
        <v>49</v>
      </c>
      <c r="N65" s="19">
        <f>IF((VLOOKUP(I65,'8Příloha_2_ceník_pravid_úklid'!$B$9:$I$30,8,0))=0,VLOOKUP(I65,'8Příloha_2_ceník_pravid_úklid'!$B$9:$K$30,10,0),VLOOKUP(I65,'8Příloha_2_ceník_pravid_úklid'!$B$9:$I$30,8,0))</f>
        <v>0</v>
      </c>
      <c r="O65" s="20">
        <v>1</v>
      </c>
      <c r="P65" s="20">
        <v>1</v>
      </c>
      <c r="Q65" s="20">
        <v>0</v>
      </c>
      <c r="R65" s="20">
        <v>0</v>
      </c>
      <c r="S65" s="21">
        <f>NETWORKDAYS.INTL(DATE(2018,1,1),DATE(2018,12,31),1,{"2018/1/1";"2018/3/30";"2018/4/2";"2018/5/1";"2018/5/8";"2018/7/5";"2018/7/6";"2018/09/28";"2018/11/17";"2018/12/24";"2018/12/25";"2018/12/26"})</f>
        <v>250</v>
      </c>
      <c r="T65" s="21">
        <f t="shared" si="5"/>
        <v>115</v>
      </c>
      <c r="U65" s="21">
        <f t="shared" si="6"/>
        <v>365</v>
      </c>
      <c r="V65" s="547">
        <f t="shared" si="2"/>
        <v>250</v>
      </c>
      <c r="W65" s="548">
        <f t="shared" si="3"/>
        <v>0</v>
      </c>
      <c r="X65" s="581">
        <f t="shared" si="4"/>
        <v>0</v>
      </c>
      <c r="Y65" s="189">
        <v>0</v>
      </c>
    </row>
    <row r="66" spans="1:25" ht="15.75" customHeight="1" x14ac:dyDescent="0.2">
      <c r="A66" s="276" t="s">
        <v>527</v>
      </c>
      <c r="B66" s="23" t="s">
        <v>328</v>
      </c>
      <c r="C66" s="23" t="s">
        <v>164</v>
      </c>
      <c r="D66" s="567" t="str">
        <f>VLOOKUP(C66,'Seznam HS - nemaš'!$A$1:$B$96,2,FALSE)</f>
        <v>406300</v>
      </c>
      <c r="E66" s="22">
        <v>210</v>
      </c>
      <c r="F66" s="154" t="s">
        <v>586</v>
      </c>
      <c r="G66" s="154"/>
      <c r="H66" s="30">
        <f>+IF(ISBLANK(I66),0,VLOOKUP(I66,'8Příloha_2_ceník_pravid_úklid'!$B$9:$C$30,2,0))</f>
        <v>18</v>
      </c>
      <c r="I66" s="143" t="s">
        <v>16</v>
      </c>
      <c r="J66" s="145">
        <v>9.1999999999999993</v>
      </c>
      <c r="K66" s="22" t="s">
        <v>337</v>
      </c>
      <c r="L66" s="198" t="s">
        <v>587</v>
      </c>
      <c r="M66" s="22" t="s">
        <v>49</v>
      </c>
      <c r="N66" s="19">
        <f>IF((VLOOKUP(I66,'8Příloha_2_ceník_pravid_úklid'!$B$9:$I$30,8,0))=0,VLOOKUP(I66,'8Příloha_2_ceník_pravid_úklid'!$B$9:$K$30,10,0),VLOOKUP(I66,'8Příloha_2_ceník_pravid_úklid'!$B$9:$I$30,8,0))</f>
        <v>0</v>
      </c>
      <c r="O66" s="20">
        <v>1</v>
      </c>
      <c r="P66" s="318">
        <f>1/21</f>
        <v>4.7619047619047616E-2</v>
      </c>
      <c r="Q66" s="20">
        <v>0</v>
      </c>
      <c r="R66" s="20">
        <v>0</v>
      </c>
      <c r="S66" s="21">
        <f>NETWORKDAYS.INTL(DATE(2018,1,1),DATE(2018,12,31),1,{"2018/1/1";"2018/3/30";"2018/4/2";"2018/5/1";"2018/5/8";"2018/7/5";"2018/7/6";"2018/09/28";"2018/11/17";"2018/12/24";"2018/12/25";"2018/12/26"})</f>
        <v>250</v>
      </c>
      <c r="T66" s="21">
        <f t="shared" si="5"/>
        <v>115</v>
      </c>
      <c r="U66" s="21">
        <f t="shared" si="6"/>
        <v>365</v>
      </c>
      <c r="V66" s="549">
        <f t="shared" si="2"/>
        <v>11.9</v>
      </c>
      <c r="W66" s="548">
        <f t="shared" si="3"/>
        <v>0</v>
      </c>
      <c r="X66" s="581">
        <f t="shared" si="4"/>
        <v>0</v>
      </c>
      <c r="Y66" s="189">
        <v>0</v>
      </c>
    </row>
    <row r="67" spans="1:25" ht="15.75" customHeight="1" x14ac:dyDescent="0.2">
      <c r="A67" s="276" t="s">
        <v>527</v>
      </c>
      <c r="B67" s="23" t="s">
        <v>328</v>
      </c>
      <c r="C67" s="23" t="s">
        <v>164</v>
      </c>
      <c r="D67" s="567" t="str">
        <f>VLOOKUP(C67,'Seznam HS - nemaš'!$A$1:$B$96,2,FALSE)</f>
        <v>406300</v>
      </c>
      <c r="E67" s="22">
        <v>211</v>
      </c>
      <c r="F67" s="154" t="s">
        <v>477</v>
      </c>
      <c r="G67" s="154"/>
      <c r="H67" s="30">
        <f>+IF(ISBLANK(I67),0,VLOOKUP(I67,'8Příloha_2_ceník_pravid_úklid'!$B$9:$C$30,2,0))</f>
        <v>7</v>
      </c>
      <c r="I67" s="143" t="s">
        <v>14</v>
      </c>
      <c r="J67" s="145">
        <v>8.41</v>
      </c>
      <c r="K67" s="22" t="s">
        <v>50</v>
      </c>
      <c r="L67" s="198" t="s">
        <v>537</v>
      </c>
      <c r="M67" s="22" t="s">
        <v>49</v>
      </c>
      <c r="N67" s="19">
        <f>IF((VLOOKUP(I67,'8Příloha_2_ceník_pravid_úklid'!$B$9:$I$30,8,0))=0,VLOOKUP(I67,'8Příloha_2_ceník_pravid_úklid'!$B$9:$K$30,10,0),VLOOKUP(I67,'8Příloha_2_ceník_pravid_úklid'!$B$9:$I$30,8,0))</f>
        <v>0</v>
      </c>
      <c r="O67" s="20">
        <v>1</v>
      </c>
      <c r="P67" s="20">
        <v>1</v>
      </c>
      <c r="Q67" s="20">
        <v>1</v>
      </c>
      <c r="R67" s="20">
        <v>1</v>
      </c>
      <c r="S67" s="21">
        <f>NETWORKDAYS.INTL(DATE(2018,1,1),DATE(2018,12,31),1,{"2018/1/1";"2018/3/30";"2018/4/2";"2018/5/1";"2018/5/8";"2018/7/5";"2018/7/6";"2018/09/28";"2018/11/17";"2018/12/24";"2018/12/25";"2018/12/26"})</f>
        <v>250</v>
      </c>
      <c r="T67" s="21">
        <f t="shared" si="5"/>
        <v>115</v>
      </c>
      <c r="U67" s="21">
        <f t="shared" si="6"/>
        <v>365</v>
      </c>
      <c r="V67" s="547">
        <f t="shared" si="2"/>
        <v>365</v>
      </c>
      <c r="W67" s="548">
        <f t="shared" si="3"/>
        <v>0</v>
      </c>
      <c r="X67" s="581">
        <f t="shared" si="4"/>
        <v>0</v>
      </c>
      <c r="Y67" s="189">
        <v>0</v>
      </c>
    </row>
    <row r="68" spans="1:25" ht="15.75" customHeight="1" x14ac:dyDescent="0.2">
      <c r="A68" s="276" t="s">
        <v>527</v>
      </c>
      <c r="B68" s="23" t="s">
        <v>328</v>
      </c>
      <c r="C68" s="23" t="s">
        <v>164</v>
      </c>
      <c r="D68" s="567" t="str">
        <f>VLOOKUP(C68,'Seznam HS - nemaš'!$A$1:$B$96,2,FALSE)</f>
        <v>406300</v>
      </c>
      <c r="E68" s="22">
        <v>212</v>
      </c>
      <c r="F68" s="154" t="s">
        <v>592</v>
      </c>
      <c r="G68" s="154" t="s">
        <v>544</v>
      </c>
      <c r="H68" s="30">
        <f>+IF(ISBLANK(I68),0,VLOOKUP(I68,'8Příloha_2_ceník_pravid_úklid'!$B$9:$C$30,2,0))</f>
        <v>4</v>
      </c>
      <c r="I68" s="143" t="s">
        <v>9</v>
      </c>
      <c r="J68" s="145">
        <v>5.36</v>
      </c>
      <c r="K68" s="22" t="s">
        <v>52</v>
      </c>
      <c r="L68" s="198" t="s">
        <v>332</v>
      </c>
      <c r="M68" s="22" t="s">
        <v>49</v>
      </c>
      <c r="N68" s="19">
        <f>IF((VLOOKUP(I68,'8Příloha_2_ceník_pravid_úklid'!$B$9:$I$30,8,0))=0,VLOOKUP(I68,'8Příloha_2_ceník_pravid_úklid'!$B$9:$K$30,10,0),VLOOKUP(I68,'8Příloha_2_ceník_pravid_úklid'!$B$9:$I$30,8,0))</f>
        <v>0</v>
      </c>
      <c r="O68" s="20">
        <v>1</v>
      </c>
      <c r="P68" s="20">
        <f>1/5</f>
        <v>0.2</v>
      </c>
      <c r="Q68" s="20">
        <v>0</v>
      </c>
      <c r="R68" s="20">
        <v>0</v>
      </c>
      <c r="S68" s="21">
        <f>NETWORKDAYS.INTL(DATE(2018,1,1),DATE(2018,12,31),1,{"2018/1/1";"2018/3/30";"2018/4/2";"2018/5/1";"2018/5/8";"2018/7/5";"2018/7/6";"2018/09/28";"2018/11/17";"2018/12/24";"2018/12/25";"2018/12/26"})</f>
        <v>250</v>
      </c>
      <c r="T68" s="21">
        <f t="shared" si="5"/>
        <v>115</v>
      </c>
      <c r="U68" s="21">
        <f t="shared" si="6"/>
        <v>365</v>
      </c>
      <c r="V68" s="547">
        <f t="shared" si="2"/>
        <v>50</v>
      </c>
      <c r="W68" s="548">
        <f t="shared" si="3"/>
        <v>0</v>
      </c>
      <c r="X68" s="581">
        <f t="shared" si="4"/>
        <v>0</v>
      </c>
      <c r="Y68" s="189">
        <v>0</v>
      </c>
    </row>
    <row r="69" spans="1:25" ht="15.75" customHeight="1" x14ac:dyDescent="0.2">
      <c r="A69" s="276" t="s">
        <v>527</v>
      </c>
      <c r="B69" s="23" t="s">
        <v>328</v>
      </c>
      <c r="C69" s="23" t="s">
        <v>164</v>
      </c>
      <c r="D69" s="567" t="str">
        <f>VLOOKUP(C69,'Seznam HS - nemaš'!$A$1:$B$96,2,FALSE)</f>
        <v>406300</v>
      </c>
      <c r="E69" s="22">
        <v>213</v>
      </c>
      <c r="F69" s="154" t="s">
        <v>593</v>
      </c>
      <c r="G69" s="154"/>
      <c r="H69" s="30">
        <f>+IF(ISBLANK(I69),0,VLOOKUP(I69,'8Příloha_2_ceník_pravid_úklid'!$B$9:$C$30,2,0))</f>
        <v>1</v>
      </c>
      <c r="I69" s="143" t="s">
        <v>78</v>
      </c>
      <c r="J69" s="145">
        <v>23.1</v>
      </c>
      <c r="K69" s="22" t="s">
        <v>51</v>
      </c>
      <c r="L69" s="198" t="s">
        <v>537</v>
      </c>
      <c r="M69" s="22" t="s">
        <v>49</v>
      </c>
      <c r="N69" s="19">
        <f>IF((VLOOKUP(I69,'8Příloha_2_ceník_pravid_úklid'!$B$9:$I$30,8,0))=0,VLOOKUP(I69,'8Příloha_2_ceník_pravid_úklid'!$B$9:$K$30,10,0),VLOOKUP(I69,'8Příloha_2_ceník_pravid_úklid'!$B$9:$I$30,8,0))</f>
        <v>0</v>
      </c>
      <c r="O69" s="20">
        <v>1</v>
      </c>
      <c r="P69" s="20">
        <v>1</v>
      </c>
      <c r="Q69" s="20">
        <v>1</v>
      </c>
      <c r="R69" s="20">
        <v>1</v>
      </c>
      <c r="S69" s="21">
        <f>NETWORKDAYS.INTL(DATE(2018,1,1),DATE(2018,12,31),1,{"2018/1/1";"2018/3/30";"2018/4/2";"2018/5/1";"2018/5/8";"2018/7/5";"2018/7/6";"2018/09/28";"2018/11/17";"2018/12/24";"2018/12/25";"2018/12/26"})</f>
        <v>250</v>
      </c>
      <c r="T69" s="21">
        <f t="shared" si="5"/>
        <v>115</v>
      </c>
      <c r="U69" s="21">
        <f t="shared" si="6"/>
        <v>365</v>
      </c>
      <c r="V69" s="547">
        <f t="shared" si="2"/>
        <v>365</v>
      </c>
      <c r="W69" s="548">
        <f t="shared" si="3"/>
        <v>0</v>
      </c>
      <c r="X69" s="581">
        <f t="shared" si="4"/>
        <v>0</v>
      </c>
      <c r="Y69" s="189">
        <v>0</v>
      </c>
    </row>
    <row r="70" spans="1:25" ht="15.75" customHeight="1" x14ac:dyDescent="0.2">
      <c r="A70" s="276" t="s">
        <v>527</v>
      </c>
      <c r="B70" s="23" t="s">
        <v>328</v>
      </c>
      <c r="C70" s="23" t="s">
        <v>164</v>
      </c>
      <c r="D70" s="567" t="str">
        <f>VLOOKUP(C70,'Seznam HS - nemaš'!$A$1:$B$96,2,FALSE)</f>
        <v>406300</v>
      </c>
      <c r="E70" s="22">
        <v>214</v>
      </c>
      <c r="F70" s="154" t="s">
        <v>437</v>
      </c>
      <c r="G70" s="154" t="s">
        <v>594</v>
      </c>
      <c r="H70" s="30">
        <f>+IF(ISBLANK(I70),0,VLOOKUP(I70,'8Příloha_2_ceník_pravid_úklid'!$B$9:$C$30,2,0))</f>
        <v>7</v>
      </c>
      <c r="I70" s="143" t="s">
        <v>14</v>
      </c>
      <c r="J70" s="145">
        <v>3.33</v>
      </c>
      <c r="K70" s="22" t="s">
        <v>595</v>
      </c>
      <c r="L70" s="198" t="s">
        <v>22</v>
      </c>
      <c r="M70" s="22" t="s">
        <v>49</v>
      </c>
      <c r="N70" s="19">
        <f>IF((VLOOKUP(I70,'8Příloha_2_ceník_pravid_úklid'!$B$9:$I$30,8,0))=0,VLOOKUP(I70,'8Příloha_2_ceník_pravid_úklid'!$B$9:$K$30,10,0),VLOOKUP(I70,'8Příloha_2_ceník_pravid_úklid'!$B$9:$I$30,8,0))</f>
        <v>0</v>
      </c>
      <c r="O70" s="20">
        <v>2</v>
      </c>
      <c r="P70" s="20">
        <v>1</v>
      </c>
      <c r="Q70" s="20">
        <v>2</v>
      </c>
      <c r="R70" s="20">
        <v>1</v>
      </c>
      <c r="S70" s="21">
        <f>NETWORKDAYS.INTL(DATE(2018,1,1),DATE(2018,12,31),1,{"2018/1/1";"2018/3/30";"2018/4/2";"2018/5/1";"2018/5/8";"2018/7/5";"2018/7/6";"2018/09/28";"2018/11/17";"2018/12/24";"2018/12/25";"2018/12/26"})</f>
        <v>250</v>
      </c>
      <c r="T70" s="21">
        <f t="shared" ref="T70:T101" si="7">U70-S70</f>
        <v>115</v>
      </c>
      <c r="U70" s="21">
        <f t="shared" ref="U70:U101" si="8">_xlfn.DAYS("1.1.2019","1.1.2018")</f>
        <v>365</v>
      </c>
      <c r="V70" s="547">
        <f t="shared" ref="V70:V133" si="9">ROUND(O70*P70*S70+Q70*R70*T70,2)</f>
        <v>730</v>
      </c>
      <c r="W70" s="548">
        <f t="shared" ref="W70:W133" si="10">ROUND(IF(N70="neoceňuje se",+J70*0*V70,J70*N70*V70),2)</f>
        <v>0</v>
      </c>
      <c r="X70" s="581">
        <f t="shared" ref="X70:Y133" si="11">ROUND(W70*1.21,2)</f>
        <v>0</v>
      </c>
      <c r="Y70" s="189">
        <v>0</v>
      </c>
    </row>
    <row r="71" spans="1:25" ht="15.75" customHeight="1" x14ac:dyDescent="0.2">
      <c r="A71" s="276" t="s">
        <v>527</v>
      </c>
      <c r="B71" s="23" t="s">
        <v>328</v>
      </c>
      <c r="C71" s="23" t="s">
        <v>164</v>
      </c>
      <c r="D71" s="567" t="str">
        <f>VLOOKUP(C71,'Seznam HS - nemaš'!$A$1:$B$96,2,FALSE)</f>
        <v>406300</v>
      </c>
      <c r="E71" s="22">
        <v>215</v>
      </c>
      <c r="F71" s="30" t="s">
        <v>437</v>
      </c>
      <c r="G71" s="30" t="s">
        <v>540</v>
      </c>
      <c r="H71" s="30">
        <f>+IF(ISBLANK(I71),0,VLOOKUP(I71,'8Příloha_2_ceník_pravid_úklid'!$B$9:$C$30,2,0))</f>
        <v>7</v>
      </c>
      <c r="I71" s="143" t="s">
        <v>14</v>
      </c>
      <c r="J71" s="145">
        <v>1.08</v>
      </c>
      <c r="K71" s="22" t="s">
        <v>64</v>
      </c>
      <c r="L71" s="198" t="s">
        <v>22</v>
      </c>
      <c r="M71" s="22" t="s">
        <v>49</v>
      </c>
      <c r="N71" s="19">
        <f>IF((VLOOKUP(I71,'8Příloha_2_ceník_pravid_úklid'!$B$9:$I$30,8,0))=0,VLOOKUP(I71,'8Příloha_2_ceník_pravid_úklid'!$B$9:$K$30,10,0),VLOOKUP(I71,'8Příloha_2_ceník_pravid_úklid'!$B$9:$I$30,8,0))</f>
        <v>0</v>
      </c>
      <c r="O71" s="20">
        <v>2</v>
      </c>
      <c r="P71" s="20">
        <v>1</v>
      </c>
      <c r="Q71" s="20">
        <v>2</v>
      </c>
      <c r="R71" s="20">
        <v>1</v>
      </c>
      <c r="S71" s="21">
        <f>NETWORKDAYS.INTL(DATE(2018,1,1),DATE(2018,12,31),1,{"2018/1/1";"2018/3/30";"2018/4/2";"2018/5/1";"2018/5/8";"2018/7/5";"2018/7/6";"2018/09/28";"2018/11/17";"2018/12/24";"2018/12/25";"2018/12/26"})</f>
        <v>250</v>
      </c>
      <c r="T71" s="21">
        <f t="shared" si="7"/>
        <v>115</v>
      </c>
      <c r="U71" s="21">
        <f t="shared" si="8"/>
        <v>365</v>
      </c>
      <c r="V71" s="547">
        <f t="shared" si="9"/>
        <v>730</v>
      </c>
      <c r="W71" s="548">
        <f t="shared" si="10"/>
        <v>0</v>
      </c>
      <c r="X71" s="581">
        <f t="shared" si="11"/>
        <v>0</v>
      </c>
      <c r="Y71" s="189">
        <v>0</v>
      </c>
    </row>
    <row r="72" spans="1:25" ht="15.75" customHeight="1" x14ac:dyDescent="0.2">
      <c r="A72" s="276" t="s">
        <v>527</v>
      </c>
      <c r="B72" s="23" t="s">
        <v>328</v>
      </c>
      <c r="C72" s="23" t="s">
        <v>164</v>
      </c>
      <c r="D72" s="567" t="str">
        <f>VLOOKUP(C72,'Seznam HS - nemaš'!$A$1:$B$96,2,FALSE)</f>
        <v>406300</v>
      </c>
      <c r="E72" s="22">
        <v>216</v>
      </c>
      <c r="F72" s="154" t="s">
        <v>596</v>
      </c>
      <c r="G72" s="154"/>
      <c r="H72" s="30">
        <f>+IF(ISBLANK(I72),0,VLOOKUP(I72,'8Příloha_2_ceník_pravid_úklid'!$B$9:$C$30,2,0))</f>
        <v>7</v>
      </c>
      <c r="I72" s="143" t="s">
        <v>14</v>
      </c>
      <c r="J72" s="145">
        <v>4.6900000000000004</v>
      </c>
      <c r="K72" s="22" t="s">
        <v>50</v>
      </c>
      <c r="L72" s="156" t="s">
        <v>21</v>
      </c>
      <c r="M72" s="22" t="s">
        <v>49</v>
      </c>
      <c r="N72" s="19">
        <f>IF((VLOOKUP(I72,'8Příloha_2_ceník_pravid_úklid'!$B$9:$I$30,8,0))=0,VLOOKUP(I72,'8Příloha_2_ceník_pravid_úklid'!$B$9:$K$30,10,0),VLOOKUP(I72,'8Příloha_2_ceník_pravid_úklid'!$B$9:$I$30,8,0))</f>
        <v>0</v>
      </c>
      <c r="O72" s="20">
        <v>1</v>
      </c>
      <c r="P72" s="20">
        <v>1</v>
      </c>
      <c r="Q72" s="20">
        <v>0</v>
      </c>
      <c r="R72" s="20">
        <v>0</v>
      </c>
      <c r="S72" s="21">
        <f>NETWORKDAYS.INTL(DATE(2018,1,1),DATE(2018,12,31),1,{"2018/1/1";"2018/3/30";"2018/4/2";"2018/5/1";"2018/5/8";"2018/7/5";"2018/7/6";"2018/09/28";"2018/11/17";"2018/12/24";"2018/12/25";"2018/12/26"})</f>
        <v>250</v>
      </c>
      <c r="T72" s="21">
        <f t="shared" si="7"/>
        <v>115</v>
      </c>
      <c r="U72" s="21">
        <f t="shared" si="8"/>
        <v>365</v>
      </c>
      <c r="V72" s="547">
        <f t="shared" si="9"/>
        <v>250</v>
      </c>
      <c r="W72" s="548">
        <f t="shared" si="10"/>
        <v>0</v>
      </c>
      <c r="X72" s="581">
        <f t="shared" si="11"/>
        <v>0</v>
      </c>
      <c r="Y72" s="189">
        <v>0</v>
      </c>
    </row>
    <row r="73" spans="1:25" ht="15.75" customHeight="1" x14ac:dyDescent="0.2">
      <c r="A73" s="235" t="s">
        <v>527</v>
      </c>
      <c r="B73" s="236" t="s">
        <v>328</v>
      </c>
      <c r="C73" s="236" t="s">
        <v>164</v>
      </c>
      <c r="D73" s="564" t="str">
        <f>VLOOKUP(C73,'Seznam HS - nemaš'!$A$1:$B$96,2,FALSE)</f>
        <v>406300</v>
      </c>
      <c r="E73" s="237">
        <v>217</v>
      </c>
      <c r="F73" s="238" t="s">
        <v>554</v>
      </c>
      <c r="G73" s="238"/>
      <c r="H73" s="303">
        <f>+IF(ISBLANK(I73),0,VLOOKUP(I73,'8Příloha_2_ceník_pravid_úklid'!$B$9:$C$30,2,0))</f>
        <v>7</v>
      </c>
      <c r="I73" s="273" t="s">
        <v>14</v>
      </c>
      <c r="J73" s="241"/>
      <c r="K73" s="237"/>
      <c r="L73" s="310" t="s">
        <v>66</v>
      </c>
      <c r="M73" s="237" t="s">
        <v>49</v>
      </c>
      <c r="N73" s="229" t="s">
        <v>501</v>
      </c>
      <c r="O73" s="230">
        <v>0</v>
      </c>
      <c r="P73" s="230">
        <v>0</v>
      </c>
      <c r="Q73" s="230">
        <v>0</v>
      </c>
      <c r="R73" s="230">
        <v>0</v>
      </c>
      <c r="S73" s="231">
        <f>NETWORKDAYS.INTL(DATE(2018,1,1),DATE(2018,12,31),1,{"2018/1/1";"2018/3/30";"2018/4/2";"2018/5/1";"2018/5/8";"2018/7/5";"2018/7/6";"2018/09/28";"2018/11/17";"2018/12/24";"2018/12/25";"2018/12/26"})</f>
        <v>250</v>
      </c>
      <c r="T73" s="231">
        <f t="shared" si="7"/>
        <v>115</v>
      </c>
      <c r="U73" s="231">
        <f t="shared" si="8"/>
        <v>365</v>
      </c>
      <c r="V73" s="306">
        <f t="shared" si="9"/>
        <v>0</v>
      </c>
      <c r="W73" s="309">
        <f t="shared" si="10"/>
        <v>0</v>
      </c>
      <c r="X73" s="579">
        <f t="shared" si="11"/>
        <v>0</v>
      </c>
      <c r="Y73" s="579">
        <f t="shared" si="11"/>
        <v>0</v>
      </c>
    </row>
    <row r="74" spans="1:25" ht="15.75" customHeight="1" x14ac:dyDescent="0.2">
      <c r="A74" s="276" t="s">
        <v>527</v>
      </c>
      <c r="B74" s="23" t="s">
        <v>328</v>
      </c>
      <c r="C74" s="23" t="s">
        <v>164</v>
      </c>
      <c r="D74" s="567" t="str">
        <f>VLOOKUP(C74,'Seznam HS - nemaš'!$A$1:$B$96,2,FALSE)</f>
        <v>406300</v>
      </c>
      <c r="E74" s="22">
        <v>218</v>
      </c>
      <c r="F74" s="154" t="s">
        <v>507</v>
      </c>
      <c r="G74" s="154"/>
      <c r="H74" s="30">
        <f>+IF(ISBLANK(I74),0,VLOOKUP(I74,'8Příloha_2_ceník_pravid_úklid'!$B$9:$C$30,2,0))</f>
        <v>11</v>
      </c>
      <c r="I74" s="143" t="s">
        <v>7</v>
      </c>
      <c r="J74" s="145">
        <f>1.6*2.3</f>
        <v>3.6799999999999997</v>
      </c>
      <c r="K74" s="22" t="s">
        <v>51</v>
      </c>
      <c r="L74" s="198" t="s">
        <v>537</v>
      </c>
      <c r="M74" s="22" t="s">
        <v>49</v>
      </c>
      <c r="N74" s="19">
        <f>IF((VLOOKUP(I74,'8Příloha_2_ceník_pravid_úklid'!$B$9:$I$30,8,0))=0,VLOOKUP(I74,'8Příloha_2_ceník_pravid_úklid'!$B$9:$K$30,10,0),VLOOKUP(I74,'8Příloha_2_ceník_pravid_úklid'!$B$9:$I$30,8,0))</f>
        <v>0</v>
      </c>
      <c r="O74" s="20">
        <v>1</v>
      </c>
      <c r="P74" s="20">
        <v>1</v>
      </c>
      <c r="Q74" s="20">
        <v>1</v>
      </c>
      <c r="R74" s="20">
        <v>1</v>
      </c>
      <c r="S74" s="21">
        <f>NETWORKDAYS.INTL(DATE(2018,1,1),DATE(2018,12,31),1,{"2018/1/1";"2018/3/30";"2018/4/2";"2018/5/1";"2018/5/8";"2018/7/5";"2018/7/6";"2018/09/28";"2018/11/17";"2018/12/24";"2018/12/25";"2018/12/26"})</f>
        <v>250</v>
      </c>
      <c r="T74" s="21">
        <f t="shared" si="7"/>
        <v>115</v>
      </c>
      <c r="U74" s="21">
        <f t="shared" si="8"/>
        <v>365</v>
      </c>
      <c r="V74" s="547">
        <f t="shared" si="9"/>
        <v>365</v>
      </c>
      <c r="W74" s="548">
        <f t="shared" si="10"/>
        <v>0</v>
      </c>
      <c r="X74" s="581">
        <f t="shared" si="11"/>
        <v>0</v>
      </c>
      <c r="Y74" s="576">
        <v>0</v>
      </c>
    </row>
    <row r="75" spans="1:25" ht="15.75" customHeight="1" x14ac:dyDescent="0.2">
      <c r="A75" s="276" t="s">
        <v>527</v>
      </c>
      <c r="B75" s="23" t="s">
        <v>328</v>
      </c>
      <c r="C75" s="23" t="s">
        <v>164</v>
      </c>
      <c r="D75" s="567" t="str">
        <f>VLOOKUP(C75,'Seznam HS - nemaš'!$A$1:$B$96,2,FALSE)</f>
        <v>406300</v>
      </c>
      <c r="E75" s="22">
        <v>219</v>
      </c>
      <c r="F75" s="154" t="s">
        <v>597</v>
      </c>
      <c r="G75" s="154"/>
      <c r="H75" s="30">
        <f>+IF(ISBLANK(I75),0,VLOOKUP(I75,'8Příloha_2_ceník_pravid_úklid'!$B$9:$C$30,2,0))</f>
        <v>4</v>
      </c>
      <c r="I75" s="143" t="s">
        <v>9</v>
      </c>
      <c r="J75" s="145">
        <v>7.83</v>
      </c>
      <c r="K75" s="22" t="s">
        <v>51</v>
      </c>
      <c r="L75" s="156" t="s">
        <v>598</v>
      </c>
      <c r="M75" s="22" t="s">
        <v>49</v>
      </c>
      <c r="N75" s="19">
        <f>IF((VLOOKUP(I75,'8Příloha_2_ceník_pravid_úklid'!$B$9:$I$30,8,0))=0,VLOOKUP(I75,'8Příloha_2_ceník_pravid_úklid'!$B$9:$K$30,10,0),VLOOKUP(I75,'8Příloha_2_ceník_pravid_úklid'!$B$9:$I$30,8,0))</f>
        <v>0</v>
      </c>
      <c r="O75" s="20">
        <v>1</v>
      </c>
      <c r="P75" s="20">
        <f>1/5</f>
        <v>0.2</v>
      </c>
      <c r="Q75" s="20">
        <v>0</v>
      </c>
      <c r="R75" s="20">
        <v>0</v>
      </c>
      <c r="S75" s="21">
        <f>NETWORKDAYS.INTL(DATE(2018,1,1),DATE(2018,12,31),1,{"2018/1/1";"2018/3/30";"2018/4/2";"2018/5/1";"2018/5/8";"2018/7/5";"2018/7/6";"2018/09/28";"2018/11/17";"2018/12/24";"2018/12/25";"2018/12/26"})</f>
        <v>250</v>
      </c>
      <c r="T75" s="21">
        <f t="shared" si="7"/>
        <v>115</v>
      </c>
      <c r="U75" s="21">
        <f t="shared" si="8"/>
        <v>365</v>
      </c>
      <c r="V75" s="547">
        <f t="shared" si="9"/>
        <v>50</v>
      </c>
      <c r="W75" s="548">
        <f t="shared" si="10"/>
        <v>0</v>
      </c>
      <c r="X75" s="581">
        <f t="shared" si="11"/>
        <v>0</v>
      </c>
      <c r="Y75" s="189">
        <v>0</v>
      </c>
    </row>
    <row r="76" spans="1:25" ht="15.75" customHeight="1" x14ac:dyDescent="0.2">
      <c r="A76" s="276" t="s">
        <v>527</v>
      </c>
      <c r="B76" s="23" t="s">
        <v>328</v>
      </c>
      <c r="C76" s="23" t="s">
        <v>164</v>
      </c>
      <c r="D76" s="567" t="str">
        <f>VLOOKUP(C76,'Seznam HS - nemaš'!$A$1:$B$96,2,FALSE)</f>
        <v>406300</v>
      </c>
      <c r="E76" s="22">
        <v>220</v>
      </c>
      <c r="F76" s="154" t="s">
        <v>599</v>
      </c>
      <c r="G76" s="154" t="s">
        <v>544</v>
      </c>
      <c r="H76" s="30">
        <f>+IF(ISBLANK(I76),0,VLOOKUP(I76,'8Příloha_2_ceník_pravid_úklid'!$B$9:$C$30,2,0))</f>
        <v>2</v>
      </c>
      <c r="I76" s="143" t="s">
        <v>2</v>
      </c>
      <c r="J76" s="145">
        <v>7.83</v>
      </c>
      <c r="K76" s="22" t="s">
        <v>51</v>
      </c>
      <c r="L76" s="198" t="s">
        <v>332</v>
      </c>
      <c r="M76" s="22" t="s">
        <v>49</v>
      </c>
      <c r="N76" s="19">
        <f>IF((VLOOKUP(I76,'8Příloha_2_ceník_pravid_úklid'!$B$9:$I$30,8,0))=0,VLOOKUP(I76,'8Příloha_2_ceník_pravid_úklid'!$B$9:$K$30,10,0),VLOOKUP(I76,'8Příloha_2_ceník_pravid_úklid'!$B$9:$I$30,8,0))</f>
        <v>0</v>
      </c>
      <c r="O76" s="20">
        <v>1</v>
      </c>
      <c r="P76" s="20">
        <f>1/5</f>
        <v>0.2</v>
      </c>
      <c r="Q76" s="20">
        <v>0</v>
      </c>
      <c r="R76" s="20">
        <v>0</v>
      </c>
      <c r="S76" s="21">
        <f>NETWORKDAYS.INTL(DATE(2018,1,1),DATE(2018,12,31),1,{"2018/1/1";"2018/3/30";"2018/4/2";"2018/5/1";"2018/5/8";"2018/7/5";"2018/7/6";"2018/09/28";"2018/11/17";"2018/12/24";"2018/12/25";"2018/12/26"})</f>
        <v>250</v>
      </c>
      <c r="T76" s="21">
        <f t="shared" si="7"/>
        <v>115</v>
      </c>
      <c r="U76" s="21">
        <f t="shared" si="8"/>
        <v>365</v>
      </c>
      <c r="V76" s="547">
        <f t="shared" si="9"/>
        <v>50</v>
      </c>
      <c r="W76" s="548">
        <f t="shared" si="10"/>
        <v>0</v>
      </c>
      <c r="X76" s="581">
        <f t="shared" si="11"/>
        <v>0</v>
      </c>
      <c r="Y76" s="189">
        <v>0</v>
      </c>
    </row>
    <row r="77" spans="1:25" ht="15.75" customHeight="1" x14ac:dyDescent="0.2">
      <c r="A77" s="276" t="s">
        <v>527</v>
      </c>
      <c r="B77" s="23" t="s">
        <v>328</v>
      </c>
      <c r="C77" s="23" t="s">
        <v>164</v>
      </c>
      <c r="D77" s="567" t="str">
        <f>VLOOKUP(C77,'Seznam HS - nemaš'!$A$1:$B$96,2,FALSE)</f>
        <v>406300</v>
      </c>
      <c r="E77" s="22">
        <v>221</v>
      </c>
      <c r="F77" s="154" t="s">
        <v>600</v>
      </c>
      <c r="G77" s="154" t="s">
        <v>544</v>
      </c>
      <c r="H77" s="30">
        <f>+IF(ISBLANK(I77),0,VLOOKUP(I77,'8Příloha_2_ceník_pravid_úklid'!$B$9:$C$30,2,0))</f>
        <v>2</v>
      </c>
      <c r="I77" s="143" t="s">
        <v>2</v>
      </c>
      <c r="J77" s="145">
        <v>7.8</v>
      </c>
      <c r="K77" s="22" t="s">
        <v>51</v>
      </c>
      <c r="L77" s="198" t="s">
        <v>332</v>
      </c>
      <c r="M77" s="22" t="s">
        <v>49</v>
      </c>
      <c r="N77" s="19">
        <f>IF((VLOOKUP(I77,'8Příloha_2_ceník_pravid_úklid'!$B$9:$I$30,8,0))=0,VLOOKUP(I77,'8Příloha_2_ceník_pravid_úklid'!$B$9:$K$30,10,0),VLOOKUP(I77,'8Příloha_2_ceník_pravid_úklid'!$B$9:$I$30,8,0))</f>
        <v>0</v>
      </c>
      <c r="O77" s="20">
        <v>1</v>
      </c>
      <c r="P77" s="20">
        <f>1/5</f>
        <v>0.2</v>
      </c>
      <c r="Q77" s="20">
        <v>0</v>
      </c>
      <c r="R77" s="20">
        <v>0</v>
      </c>
      <c r="S77" s="21">
        <f>NETWORKDAYS.INTL(DATE(2018,1,1),DATE(2018,12,31),1,{"2018/1/1";"2018/3/30";"2018/4/2";"2018/5/1";"2018/5/8";"2018/7/5";"2018/7/6";"2018/09/28";"2018/11/17";"2018/12/24";"2018/12/25";"2018/12/26"})</f>
        <v>250</v>
      </c>
      <c r="T77" s="21">
        <f t="shared" si="7"/>
        <v>115</v>
      </c>
      <c r="U77" s="21">
        <f t="shared" si="8"/>
        <v>365</v>
      </c>
      <c r="V77" s="547">
        <f t="shared" si="9"/>
        <v>50</v>
      </c>
      <c r="W77" s="548">
        <f t="shared" si="10"/>
        <v>0</v>
      </c>
      <c r="X77" s="581">
        <f t="shared" si="11"/>
        <v>0</v>
      </c>
      <c r="Y77" s="189">
        <v>0</v>
      </c>
    </row>
    <row r="78" spans="1:25" ht="15.75" customHeight="1" x14ac:dyDescent="0.2">
      <c r="A78" s="276" t="s">
        <v>527</v>
      </c>
      <c r="B78" s="23" t="s">
        <v>328</v>
      </c>
      <c r="C78" s="23" t="s">
        <v>164</v>
      </c>
      <c r="D78" s="567" t="str">
        <f>VLOOKUP(C78,'Seznam HS - nemaš'!$A$1:$B$96,2,FALSE)</f>
        <v>406300</v>
      </c>
      <c r="E78" s="22">
        <v>222</v>
      </c>
      <c r="F78" s="154" t="s">
        <v>601</v>
      </c>
      <c r="G78" s="154"/>
      <c r="H78" s="30">
        <f>+IF(ISBLANK(I78),0,VLOOKUP(I78,'8Příloha_2_ceník_pravid_úklid'!$B$9:$C$30,2,0))</f>
        <v>17</v>
      </c>
      <c r="I78" s="143" t="s">
        <v>13</v>
      </c>
      <c r="J78" s="145">
        <v>4.0599999999999996</v>
      </c>
      <c r="K78" s="22" t="s">
        <v>64</v>
      </c>
      <c r="L78" s="156" t="s">
        <v>21</v>
      </c>
      <c r="M78" s="22" t="s">
        <v>49</v>
      </c>
      <c r="N78" s="19">
        <f>IF((VLOOKUP(I78,'8Příloha_2_ceník_pravid_úklid'!$B$9:$I$30,8,0))=0,VLOOKUP(I78,'8Příloha_2_ceník_pravid_úklid'!$B$9:$K$30,10,0),VLOOKUP(I78,'8Příloha_2_ceník_pravid_úklid'!$B$9:$I$30,8,0))</f>
        <v>0</v>
      </c>
      <c r="O78" s="20">
        <v>1</v>
      </c>
      <c r="P78" s="20">
        <v>1</v>
      </c>
      <c r="Q78" s="20">
        <v>0</v>
      </c>
      <c r="R78" s="20">
        <v>0</v>
      </c>
      <c r="S78" s="21">
        <f>NETWORKDAYS.INTL(DATE(2018,1,1),DATE(2018,12,31),1,{"2018/1/1";"2018/3/30";"2018/4/2";"2018/5/1";"2018/5/8";"2018/7/5";"2018/7/6";"2018/09/28";"2018/11/17";"2018/12/24";"2018/12/25";"2018/12/26"})</f>
        <v>250</v>
      </c>
      <c r="T78" s="21">
        <f t="shared" si="7"/>
        <v>115</v>
      </c>
      <c r="U78" s="21">
        <f t="shared" si="8"/>
        <v>365</v>
      </c>
      <c r="V78" s="550">
        <f t="shared" si="9"/>
        <v>250</v>
      </c>
      <c r="W78" s="548">
        <f t="shared" si="10"/>
        <v>0</v>
      </c>
      <c r="X78" s="582">
        <f t="shared" si="11"/>
        <v>0</v>
      </c>
      <c r="Y78" s="189">
        <v>0</v>
      </c>
    </row>
    <row r="79" spans="1:25" ht="15.75" customHeight="1" x14ac:dyDescent="0.2">
      <c r="A79" s="276" t="s">
        <v>527</v>
      </c>
      <c r="B79" s="23" t="s">
        <v>328</v>
      </c>
      <c r="C79" s="23" t="s">
        <v>164</v>
      </c>
      <c r="D79" s="567" t="str">
        <f>VLOOKUP(C79,'Seznam HS - nemaš'!$A$1:$B$96,2,FALSE)</f>
        <v>406300</v>
      </c>
      <c r="E79" s="22">
        <v>223</v>
      </c>
      <c r="F79" s="154" t="s">
        <v>602</v>
      </c>
      <c r="G79" s="154" t="s">
        <v>544</v>
      </c>
      <c r="H79" s="30">
        <f>+IF(ISBLANK(I79),0,VLOOKUP(I79,'8Příloha_2_ceník_pravid_úklid'!$B$9:$C$30,2,0))</f>
        <v>7</v>
      </c>
      <c r="I79" s="143" t="s">
        <v>14</v>
      </c>
      <c r="J79" s="145">
        <v>3.05</v>
      </c>
      <c r="K79" s="22" t="s">
        <v>64</v>
      </c>
      <c r="L79" s="156" t="s">
        <v>21</v>
      </c>
      <c r="M79" s="22" t="s">
        <v>49</v>
      </c>
      <c r="N79" s="19">
        <f>IF((VLOOKUP(I79,'8Příloha_2_ceník_pravid_úklid'!$B$9:$I$30,8,0))=0,VLOOKUP(I79,'8Příloha_2_ceník_pravid_úklid'!$B$9:$K$30,10,0),VLOOKUP(I79,'8Příloha_2_ceník_pravid_úklid'!$B$9:$I$30,8,0))</f>
        <v>0</v>
      </c>
      <c r="O79" s="20">
        <v>1</v>
      </c>
      <c r="P79" s="20">
        <v>1</v>
      </c>
      <c r="Q79" s="20">
        <v>0</v>
      </c>
      <c r="R79" s="20">
        <v>0</v>
      </c>
      <c r="S79" s="21">
        <f>NETWORKDAYS.INTL(DATE(2018,1,1),DATE(2018,12,31),1,{"2018/1/1";"2018/3/30";"2018/4/2";"2018/5/1";"2018/5/8";"2018/7/5";"2018/7/6";"2018/09/28";"2018/11/17";"2018/12/24";"2018/12/25";"2018/12/26"})</f>
        <v>250</v>
      </c>
      <c r="T79" s="21">
        <f t="shared" si="7"/>
        <v>115</v>
      </c>
      <c r="U79" s="21">
        <f t="shared" si="8"/>
        <v>365</v>
      </c>
      <c r="V79" s="550">
        <f t="shared" si="9"/>
        <v>250</v>
      </c>
      <c r="W79" s="548">
        <f t="shared" si="10"/>
        <v>0</v>
      </c>
      <c r="X79" s="582">
        <f t="shared" si="11"/>
        <v>0</v>
      </c>
      <c r="Y79" s="189">
        <v>0</v>
      </c>
    </row>
    <row r="80" spans="1:25" ht="15.75" customHeight="1" x14ac:dyDescent="0.2">
      <c r="A80" s="276" t="s">
        <v>527</v>
      </c>
      <c r="B80" s="23" t="s">
        <v>328</v>
      </c>
      <c r="C80" s="23" t="s">
        <v>164</v>
      </c>
      <c r="D80" s="567" t="str">
        <f>VLOOKUP(C80,'Seznam HS - nemaš'!$A$1:$B$96,2,FALSE)</f>
        <v>406300</v>
      </c>
      <c r="E80" s="22">
        <v>224</v>
      </c>
      <c r="F80" s="154" t="s">
        <v>53</v>
      </c>
      <c r="G80" s="154"/>
      <c r="H80" s="30">
        <f>+IF(ISBLANK(I80),0,VLOOKUP(I80,'8Příloha_2_ceník_pravid_úklid'!$B$9:$C$30,2,0))</f>
        <v>6</v>
      </c>
      <c r="I80" s="143" t="s">
        <v>1</v>
      </c>
      <c r="J80" s="145">
        <v>57.2</v>
      </c>
      <c r="K80" s="22" t="s">
        <v>64</v>
      </c>
      <c r="L80" s="198" t="s">
        <v>22</v>
      </c>
      <c r="M80" s="22" t="s">
        <v>49</v>
      </c>
      <c r="N80" s="19">
        <f>IF((VLOOKUP(I80,'8Příloha_2_ceník_pravid_úklid'!$B$9:$I$30,8,0))=0,VLOOKUP(I80,'8Příloha_2_ceník_pravid_úklid'!$B$9:$K$30,10,0),VLOOKUP(I80,'8Příloha_2_ceník_pravid_úklid'!$B$9:$I$30,8,0))</f>
        <v>0</v>
      </c>
      <c r="O80" s="20">
        <v>2</v>
      </c>
      <c r="P80" s="20">
        <v>1</v>
      </c>
      <c r="Q80" s="20">
        <v>2</v>
      </c>
      <c r="R80" s="20">
        <v>1</v>
      </c>
      <c r="S80" s="21">
        <f>NETWORKDAYS.INTL(DATE(2018,1,1),DATE(2018,12,31),1,{"2018/1/1";"2018/3/30";"2018/4/2";"2018/5/1";"2018/5/8";"2018/7/5";"2018/7/6";"2018/09/28";"2018/11/17";"2018/12/24";"2018/12/25";"2018/12/26"})</f>
        <v>250</v>
      </c>
      <c r="T80" s="21">
        <f t="shared" si="7"/>
        <v>115</v>
      </c>
      <c r="U80" s="21">
        <f t="shared" si="8"/>
        <v>365</v>
      </c>
      <c r="V80" s="550">
        <f t="shared" si="9"/>
        <v>730</v>
      </c>
      <c r="W80" s="548">
        <f t="shared" si="10"/>
        <v>0</v>
      </c>
      <c r="X80" s="582">
        <f t="shared" si="11"/>
        <v>0</v>
      </c>
      <c r="Y80" s="189">
        <v>0</v>
      </c>
    </row>
    <row r="81" spans="1:25" ht="15.75" customHeight="1" x14ac:dyDescent="0.2">
      <c r="A81" s="276" t="s">
        <v>527</v>
      </c>
      <c r="B81" s="23" t="s">
        <v>328</v>
      </c>
      <c r="C81" s="23" t="s">
        <v>164</v>
      </c>
      <c r="D81" s="567" t="str">
        <f>VLOOKUP(C81,'Seznam HS - nemaš'!$A$1:$B$96,2,FALSE)</f>
        <v>406300</v>
      </c>
      <c r="E81" s="22">
        <v>225</v>
      </c>
      <c r="F81" s="154" t="s">
        <v>603</v>
      </c>
      <c r="G81" s="154"/>
      <c r="H81" s="30">
        <f>+IF(ISBLANK(I81),0,VLOOKUP(I81,'8Příloha_2_ceník_pravid_úklid'!$B$9:$C$30,2,0))</f>
        <v>1</v>
      </c>
      <c r="I81" s="143" t="s">
        <v>78</v>
      </c>
      <c r="J81" s="145">
        <v>17.38</v>
      </c>
      <c r="K81" s="22" t="s">
        <v>51</v>
      </c>
      <c r="L81" s="198" t="s">
        <v>537</v>
      </c>
      <c r="M81" s="22" t="s">
        <v>49</v>
      </c>
      <c r="N81" s="19">
        <f>IF((VLOOKUP(I81,'8Příloha_2_ceník_pravid_úklid'!$B$9:$I$30,8,0))=0,VLOOKUP(I81,'8Příloha_2_ceník_pravid_úklid'!$B$9:$K$30,10,0),VLOOKUP(I81,'8Příloha_2_ceník_pravid_úklid'!$B$9:$I$30,8,0))</f>
        <v>0</v>
      </c>
      <c r="O81" s="20">
        <v>1</v>
      </c>
      <c r="P81" s="20">
        <v>1</v>
      </c>
      <c r="Q81" s="20">
        <v>1</v>
      </c>
      <c r="R81" s="20">
        <v>1</v>
      </c>
      <c r="S81" s="21">
        <f>NETWORKDAYS.INTL(DATE(2018,1,1),DATE(2018,12,31),1,{"2018/1/1";"2018/3/30";"2018/4/2";"2018/5/1";"2018/5/8";"2018/7/5";"2018/7/6";"2018/09/28";"2018/11/17";"2018/12/24";"2018/12/25";"2018/12/26"})</f>
        <v>250</v>
      </c>
      <c r="T81" s="21">
        <f t="shared" si="7"/>
        <v>115</v>
      </c>
      <c r="U81" s="21">
        <f t="shared" si="8"/>
        <v>365</v>
      </c>
      <c r="V81" s="550">
        <f t="shared" si="9"/>
        <v>365</v>
      </c>
      <c r="W81" s="548">
        <f t="shared" si="10"/>
        <v>0</v>
      </c>
      <c r="X81" s="582">
        <f t="shared" si="11"/>
        <v>0</v>
      </c>
      <c r="Y81" s="189">
        <v>0</v>
      </c>
    </row>
    <row r="82" spans="1:25" ht="15.75" customHeight="1" x14ac:dyDescent="0.2">
      <c r="A82" s="276" t="s">
        <v>527</v>
      </c>
      <c r="B82" s="23" t="s">
        <v>328</v>
      </c>
      <c r="C82" s="23" t="s">
        <v>164</v>
      </c>
      <c r="D82" s="567" t="str">
        <f>VLOOKUP(C82,'Seznam HS - nemaš'!$A$1:$B$96,2,FALSE)</f>
        <v>406300</v>
      </c>
      <c r="E82" s="22">
        <v>226</v>
      </c>
      <c r="F82" s="154" t="s">
        <v>604</v>
      </c>
      <c r="G82" s="154"/>
      <c r="H82" s="30">
        <f>+IF(ISBLANK(I82),0,VLOOKUP(I82,'8Příloha_2_ceník_pravid_úklid'!$B$9:$C$30,2,0))</f>
        <v>1</v>
      </c>
      <c r="I82" s="143" t="s">
        <v>78</v>
      </c>
      <c r="J82" s="145">
        <v>16.809999999999999</v>
      </c>
      <c r="K82" s="22" t="s">
        <v>51</v>
      </c>
      <c r="L82" s="198" t="s">
        <v>537</v>
      </c>
      <c r="M82" s="22" t="s">
        <v>49</v>
      </c>
      <c r="N82" s="19">
        <f>IF((VLOOKUP(I82,'8Příloha_2_ceník_pravid_úklid'!$B$9:$I$30,8,0))=0,VLOOKUP(I82,'8Příloha_2_ceník_pravid_úklid'!$B$9:$K$30,10,0),VLOOKUP(I82,'8Příloha_2_ceník_pravid_úklid'!$B$9:$I$30,8,0))</f>
        <v>0</v>
      </c>
      <c r="O82" s="20">
        <v>1</v>
      </c>
      <c r="P82" s="20">
        <v>1</v>
      </c>
      <c r="Q82" s="20">
        <v>1</v>
      </c>
      <c r="R82" s="20">
        <v>1</v>
      </c>
      <c r="S82" s="21">
        <f>NETWORKDAYS.INTL(DATE(2018,1,1),DATE(2018,12,31),1,{"2018/1/1";"2018/3/30";"2018/4/2";"2018/5/1";"2018/5/8";"2018/7/5";"2018/7/6";"2018/09/28";"2018/11/17";"2018/12/24";"2018/12/25";"2018/12/26"})</f>
        <v>250</v>
      </c>
      <c r="T82" s="21">
        <f t="shared" si="7"/>
        <v>115</v>
      </c>
      <c r="U82" s="21">
        <f t="shared" si="8"/>
        <v>365</v>
      </c>
      <c r="V82" s="550">
        <f t="shared" si="9"/>
        <v>365</v>
      </c>
      <c r="W82" s="548">
        <f t="shared" si="10"/>
        <v>0</v>
      </c>
      <c r="X82" s="582">
        <f t="shared" si="11"/>
        <v>0</v>
      </c>
      <c r="Y82" s="189">
        <v>0</v>
      </c>
    </row>
    <row r="83" spans="1:25" ht="15" x14ac:dyDescent="0.2">
      <c r="A83" s="276" t="s">
        <v>527</v>
      </c>
      <c r="B83" s="23" t="s">
        <v>328</v>
      </c>
      <c r="C83" s="23" t="s">
        <v>164</v>
      </c>
      <c r="D83" s="567" t="str">
        <f>VLOOKUP(C83,'Seznam HS - nemaš'!$A$1:$B$96,2,FALSE)</f>
        <v>406300</v>
      </c>
      <c r="E83" s="22">
        <v>227</v>
      </c>
      <c r="F83" s="154" t="s">
        <v>605</v>
      </c>
      <c r="G83" s="154"/>
      <c r="H83" s="30">
        <f>+IF(ISBLANK(I83),0,VLOOKUP(I83,'8Příloha_2_ceník_pravid_úklid'!$B$9:$C$30,2,0))</f>
        <v>1</v>
      </c>
      <c r="I83" s="143" t="s">
        <v>78</v>
      </c>
      <c r="J83" s="145">
        <v>14.82</v>
      </c>
      <c r="K83" s="22" t="s">
        <v>51</v>
      </c>
      <c r="L83" s="198" t="s">
        <v>537</v>
      </c>
      <c r="M83" s="22" t="s">
        <v>49</v>
      </c>
      <c r="N83" s="19">
        <f>IF((VLOOKUP(I83,'8Příloha_2_ceník_pravid_úklid'!$B$9:$I$30,8,0))=0,VLOOKUP(I83,'8Příloha_2_ceník_pravid_úklid'!$B$9:$K$30,10,0),VLOOKUP(I83,'8Příloha_2_ceník_pravid_úklid'!$B$9:$I$30,8,0))</f>
        <v>0</v>
      </c>
      <c r="O83" s="20">
        <v>1</v>
      </c>
      <c r="P83" s="20">
        <v>1</v>
      </c>
      <c r="Q83" s="20">
        <v>1</v>
      </c>
      <c r="R83" s="20">
        <v>1</v>
      </c>
      <c r="S83" s="21">
        <f>NETWORKDAYS.INTL(DATE(2018,1,1),DATE(2018,12,31),1,{"2018/1/1";"2018/3/30";"2018/4/2";"2018/5/1";"2018/5/8";"2018/7/5";"2018/7/6";"2018/09/28";"2018/11/17";"2018/12/24";"2018/12/25";"2018/12/26"})</f>
        <v>250</v>
      </c>
      <c r="T83" s="21">
        <f t="shared" si="7"/>
        <v>115</v>
      </c>
      <c r="U83" s="21">
        <f t="shared" si="8"/>
        <v>365</v>
      </c>
      <c r="V83" s="550">
        <f t="shared" si="9"/>
        <v>365</v>
      </c>
      <c r="W83" s="548">
        <f t="shared" si="10"/>
        <v>0</v>
      </c>
      <c r="X83" s="582">
        <f t="shared" si="11"/>
        <v>0</v>
      </c>
      <c r="Y83" s="189">
        <v>0</v>
      </c>
    </row>
    <row r="84" spans="1:25" ht="15" x14ac:dyDescent="0.2">
      <c r="A84" s="276" t="s">
        <v>527</v>
      </c>
      <c r="B84" s="23" t="s">
        <v>328</v>
      </c>
      <c r="C84" s="23" t="s">
        <v>164</v>
      </c>
      <c r="D84" s="567" t="str">
        <f>VLOOKUP(C84,'Seznam HS - nemaš'!$A$1:$B$96,2,FALSE)</f>
        <v>406300</v>
      </c>
      <c r="E84" s="22">
        <v>228</v>
      </c>
      <c r="F84" s="154" t="s">
        <v>606</v>
      </c>
      <c r="G84" s="154"/>
      <c r="H84" s="30">
        <f>+IF(ISBLANK(I84),0,VLOOKUP(I84,'8Příloha_2_ceník_pravid_úklid'!$B$9:$C$30,2,0))</f>
        <v>1</v>
      </c>
      <c r="I84" s="143" t="s">
        <v>78</v>
      </c>
      <c r="J84" s="145">
        <v>15.67</v>
      </c>
      <c r="K84" s="22" t="s">
        <v>51</v>
      </c>
      <c r="L84" s="198" t="s">
        <v>22</v>
      </c>
      <c r="M84" s="22" t="s">
        <v>49</v>
      </c>
      <c r="N84" s="19">
        <f>IF((VLOOKUP(I84,'8Příloha_2_ceník_pravid_úklid'!$B$9:$I$30,8,0))=0,VLOOKUP(I84,'8Příloha_2_ceník_pravid_úklid'!$B$9:$K$30,10,0),VLOOKUP(I84,'8Příloha_2_ceník_pravid_úklid'!$B$9:$I$30,8,0))</f>
        <v>0</v>
      </c>
      <c r="O84" s="20">
        <v>2</v>
      </c>
      <c r="P84" s="20">
        <v>1</v>
      </c>
      <c r="Q84" s="20">
        <v>2</v>
      </c>
      <c r="R84" s="20">
        <v>1</v>
      </c>
      <c r="S84" s="21">
        <f>NETWORKDAYS.INTL(DATE(2018,1,1),DATE(2018,12,31),1,{"2018/1/1";"2018/3/30";"2018/4/2";"2018/5/1";"2018/5/8";"2018/7/5";"2018/7/6";"2018/09/28";"2018/11/17";"2018/12/24";"2018/12/25";"2018/12/26"})</f>
        <v>250</v>
      </c>
      <c r="T84" s="21">
        <f t="shared" si="7"/>
        <v>115</v>
      </c>
      <c r="U84" s="21">
        <f t="shared" si="8"/>
        <v>365</v>
      </c>
      <c r="V84" s="550">
        <f t="shared" si="9"/>
        <v>730</v>
      </c>
      <c r="W84" s="548">
        <f t="shared" si="10"/>
        <v>0</v>
      </c>
      <c r="X84" s="582">
        <f t="shared" si="11"/>
        <v>0</v>
      </c>
      <c r="Y84" s="189">
        <v>0</v>
      </c>
    </row>
    <row r="85" spans="1:25" ht="15" x14ac:dyDescent="0.2">
      <c r="A85" s="276" t="s">
        <v>527</v>
      </c>
      <c r="B85" s="23" t="s">
        <v>328</v>
      </c>
      <c r="C85" s="23" t="s">
        <v>164</v>
      </c>
      <c r="D85" s="567" t="str">
        <f>VLOOKUP(C85,'Seznam HS - nemaš'!$A$1:$B$96,2,FALSE)</f>
        <v>406300</v>
      </c>
      <c r="E85" s="22">
        <v>229</v>
      </c>
      <c r="F85" s="154" t="s">
        <v>567</v>
      </c>
      <c r="G85" s="154"/>
      <c r="H85" s="30">
        <f>+IF(ISBLANK(I85),0,VLOOKUP(I85,'8Příloha_2_ceník_pravid_úklid'!$B$9:$C$30,2,0))</f>
        <v>1</v>
      </c>
      <c r="I85" s="143" t="s">
        <v>78</v>
      </c>
      <c r="J85" s="145">
        <v>14.82</v>
      </c>
      <c r="K85" s="22" t="s">
        <v>51</v>
      </c>
      <c r="L85" s="198" t="s">
        <v>537</v>
      </c>
      <c r="M85" s="22" t="s">
        <v>49</v>
      </c>
      <c r="N85" s="19">
        <f>IF((VLOOKUP(I85,'8Příloha_2_ceník_pravid_úklid'!$B$9:$I$30,8,0))=0,VLOOKUP(I85,'8Příloha_2_ceník_pravid_úklid'!$B$9:$K$30,10,0),VLOOKUP(I85,'8Příloha_2_ceník_pravid_úklid'!$B$9:$I$30,8,0))</f>
        <v>0</v>
      </c>
      <c r="O85" s="20">
        <v>1</v>
      </c>
      <c r="P85" s="20">
        <v>1</v>
      </c>
      <c r="Q85" s="20">
        <v>1</v>
      </c>
      <c r="R85" s="20">
        <v>1</v>
      </c>
      <c r="S85" s="21">
        <f>NETWORKDAYS.INTL(DATE(2018,1,1),DATE(2018,12,31),1,{"2018/1/1";"2018/3/30";"2018/4/2";"2018/5/1";"2018/5/8";"2018/7/5";"2018/7/6";"2018/09/28";"2018/11/17";"2018/12/24";"2018/12/25";"2018/12/26"})</f>
        <v>250</v>
      </c>
      <c r="T85" s="21">
        <f t="shared" si="7"/>
        <v>115</v>
      </c>
      <c r="U85" s="21">
        <f t="shared" si="8"/>
        <v>365</v>
      </c>
      <c r="V85" s="550">
        <f t="shared" si="9"/>
        <v>365</v>
      </c>
      <c r="W85" s="548">
        <f t="shared" si="10"/>
        <v>0</v>
      </c>
      <c r="X85" s="582">
        <f t="shared" si="11"/>
        <v>0</v>
      </c>
      <c r="Y85" s="189">
        <v>0</v>
      </c>
    </row>
    <row r="86" spans="1:25" ht="15" x14ac:dyDescent="0.2">
      <c r="A86" s="276" t="s">
        <v>527</v>
      </c>
      <c r="B86" s="23" t="s">
        <v>328</v>
      </c>
      <c r="C86" s="23" t="s">
        <v>164</v>
      </c>
      <c r="D86" s="567" t="str">
        <f>VLOOKUP(C86,'Seznam HS - nemaš'!$A$1:$B$96,2,FALSE)</f>
        <v>406300</v>
      </c>
      <c r="E86" s="22">
        <v>230</v>
      </c>
      <c r="F86" s="154" t="s">
        <v>552</v>
      </c>
      <c r="G86" s="154"/>
      <c r="H86" s="30">
        <f>+IF(ISBLANK(I86),0,VLOOKUP(I86,'8Příloha_2_ceník_pravid_úklid'!$B$9:$C$30,2,0))</f>
        <v>16</v>
      </c>
      <c r="I86" s="143" t="s">
        <v>6</v>
      </c>
      <c r="J86" s="145">
        <v>12.82</v>
      </c>
      <c r="K86" s="22" t="s">
        <v>64</v>
      </c>
      <c r="L86" s="198" t="s">
        <v>22</v>
      </c>
      <c r="M86" s="22" t="s">
        <v>49</v>
      </c>
      <c r="N86" s="19">
        <f>IF((VLOOKUP(I86,'8Příloha_2_ceník_pravid_úklid'!$B$9:$I$30,8,0))=0,VLOOKUP(I86,'8Příloha_2_ceník_pravid_úklid'!$B$9:$K$30,10,0),VLOOKUP(I86,'8Příloha_2_ceník_pravid_úklid'!$B$9:$I$30,8,0))</f>
        <v>0</v>
      </c>
      <c r="O86" s="20">
        <v>2</v>
      </c>
      <c r="P86" s="20">
        <v>1</v>
      </c>
      <c r="Q86" s="20">
        <v>2</v>
      </c>
      <c r="R86" s="20">
        <v>1</v>
      </c>
      <c r="S86" s="21">
        <f>NETWORKDAYS.INTL(DATE(2018,1,1),DATE(2018,12,31),1,{"2018/1/1";"2018/3/30";"2018/4/2";"2018/5/1";"2018/5/8";"2018/7/5";"2018/7/6";"2018/09/28";"2018/11/17";"2018/12/24";"2018/12/25";"2018/12/26"})</f>
        <v>250</v>
      </c>
      <c r="T86" s="21">
        <f t="shared" si="7"/>
        <v>115</v>
      </c>
      <c r="U86" s="21">
        <f t="shared" si="8"/>
        <v>365</v>
      </c>
      <c r="V86" s="550">
        <f t="shared" si="9"/>
        <v>730</v>
      </c>
      <c r="W86" s="548">
        <f t="shared" si="10"/>
        <v>0</v>
      </c>
      <c r="X86" s="582">
        <f t="shared" si="11"/>
        <v>0</v>
      </c>
      <c r="Y86" s="189">
        <v>0</v>
      </c>
    </row>
    <row r="87" spans="1:25" ht="15" x14ac:dyDescent="0.2">
      <c r="A87" s="276" t="s">
        <v>527</v>
      </c>
      <c r="B87" s="23" t="s">
        <v>328</v>
      </c>
      <c r="C87" s="23" t="s">
        <v>164</v>
      </c>
      <c r="D87" s="567" t="str">
        <f>VLOOKUP(C87,'Seznam HS - nemaš'!$A$1:$B$96,2,FALSE)</f>
        <v>406300</v>
      </c>
      <c r="E87" s="22">
        <v>231</v>
      </c>
      <c r="F87" s="154" t="s">
        <v>567</v>
      </c>
      <c r="G87" s="154"/>
      <c r="H87" s="30">
        <f>+IF(ISBLANK(I87),0,VLOOKUP(I87,'8Příloha_2_ceník_pravid_úklid'!$B$9:$C$30,2,0))</f>
        <v>1</v>
      </c>
      <c r="I87" s="143" t="s">
        <v>78</v>
      </c>
      <c r="J87" s="145">
        <v>11.49</v>
      </c>
      <c r="K87" s="22" t="s">
        <v>51</v>
      </c>
      <c r="L87" s="198" t="s">
        <v>537</v>
      </c>
      <c r="M87" s="22" t="s">
        <v>49</v>
      </c>
      <c r="N87" s="19">
        <f>IF((VLOOKUP(I87,'8Příloha_2_ceník_pravid_úklid'!$B$9:$I$30,8,0))=0,VLOOKUP(I87,'8Příloha_2_ceník_pravid_úklid'!$B$9:$K$30,10,0),VLOOKUP(I87,'8Příloha_2_ceník_pravid_úklid'!$B$9:$I$30,8,0))</f>
        <v>0</v>
      </c>
      <c r="O87" s="20">
        <v>1</v>
      </c>
      <c r="P87" s="20">
        <v>1</v>
      </c>
      <c r="Q87" s="20">
        <v>1</v>
      </c>
      <c r="R87" s="20">
        <v>1</v>
      </c>
      <c r="S87" s="21">
        <f>NETWORKDAYS.INTL(DATE(2018,1,1),DATE(2018,12,31),1,{"2018/1/1";"2018/3/30";"2018/4/2";"2018/5/1";"2018/5/8";"2018/7/5";"2018/7/6";"2018/09/28";"2018/11/17";"2018/12/24";"2018/12/25";"2018/12/26"})</f>
        <v>250</v>
      </c>
      <c r="T87" s="21">
        <f t="shared" si="7"/>
        <v>115</v>
      </c>
      <c r="U87" s="21">
        <f t="shared" si="8"/>
        <v>365</v>
      </c>
      <c r="V87" s="550">
        <f t="shared" si="9"/>
        <v>365</v>
      </c>
      <c r="W87" s="548">
        <f t="shared" si="10"/>
        <v>0</v>
      </c>
      <c r="X87" s="582">
        <f t="shared" si="11"/>
        <v>0</v>
      </c>
      <c r="Y87" s="189">
        <v>0</v>
      </c>
    </row>
    <row r="88" spans="1:25" ht="15" x14ac:dyDescent="0.2">
      <c r="A88" s="276" t="s">
        <v>527</v>
      </c>
      <c r="B88" s="23" t="s">
        <v>328</v>
      </c>
      <c r="C88" s="23" t="s">
        <v>164</v>
      </c>
      <c r="D88" s="567" t="str">
        <f>VLOOKUP(C88,'Seznam HS - nemaš'!$A$1:$B$96,2,FALSE)</f>
        <v>406300</v>
      </c>
      <c r="E88" s="22">
        <v>232</v>
      </c>
      <c r="F88" s="154" t="s">
        <v>567</v>
      </c>
      <c r="G88" s="154"/>
      <c r="H88" s="30">
        <f>+IF(ISBLANK(I88),0,VLOOKUP(I88,'8Příloha_2_ceník_pravid_úklid'!$B$9:$C$30,2,0))</f>
        <v>1</v>
      </c>
      <c r="I88" s="143" t="s">
        <v>78</v>
      </c>
      <c r="J88" s="145">
        <v>12.37</v>
      </c>
      <c r="K88" s="22" t="s">
        <v>51</v>
      </c>
      <c r="L88" s="198" t="s">
        <v>537</v>
      </c>
      <c r="M88" s="22" t="s">
        <v>49</v>
      </c>
      <c r="N88" s="19">
        <f>IF((VLOOKUP(I88,'8Příloha_2_ceník_pravid_úklid'!$B$9:$I$30,8,0))=0,VLOOKUP(I88,'8Příloha_2_ceník_pravid_úklid'!$B$9:$K$30,10,0),VLOOKUP(I88,'8Příloha_2_ceník_pravid_úklid'!$B$9:$I$30,8,0))</f>
        <v>0</v>
      </c>
      <c r="O88" s="20">
        <v>1</v>
      </c>
      <c r="P88" s="20">
        <v>1</v>
      </c>
      <c r="Q88" s="20">
        <v>1</v>
      </c>
      <c r="R88" s="20">
        <v>1</v>
      </c>
      <c r="S88" s="21">
        <f>NETWORKDAYS.INTL(DATE(2018,1,1),DATE(2018,12,31),1,{"2018/1/1";"2018/3/30";"2018/4/2";"2018/5/1";"2018/5/8";"2018/7/5";"2018/7/6";"2018/09/28";"2018/11/17";"2018/12/24";"2018/12/25";"2018/12/26"})</f>
        <v>250</v>
      </c>
      <c r="T88" s="21">
        <f t="shared" si="7"/>
        <v>115</v>
      </c>
      <c r="U88" s="21">
        <f t="shared" si="8"/>
        <v>365</v>
      </c>
      <c r="V88" s="550">
        <f t="shared" si="9"/>
        <v>365</v>
      </c>
      <c r="W88" s="548">
        <f t="shared" si="10"/>
        <v>0</v>
      </c>
      <c r="X88" s="582">
        <f t="shared" si="11"/>
        <v>0</v>
      </c>
      <c r="Y88" s="189">
        <v>0</v>
      </c>
    </row>
    <row r="89" spans="1:25" ht="15" x14ac:dyDescent="0.2">
      <c r="A89" s="276" t="s">
        <v>527</v>
      </c>
      <c r="B89" s="23" t="s">
        <v>328</v>
      </c>
      <c r="C89" s="23" t="s">
        <v>164</v>
      </c>
      <c r="D89" s="567" t="str">
        <f>VLOOKUP(C89,'Seznam HS - nemaš'!$A$1:$B$96,2,FALSE)</f>
        <v>406300</v>
      </c>
      <c r="E89" s="22">
        <v>234</v>
      </c>
      <c r="F89" s="154" t="s">
        <v>437</v>
      </c>
      <c r="G89" s="154" t="s">
        <v>444</v>
      </c>
      <c r="H89" s="30">
        <f>+IF(ISBLANK(I89),0,VLOOKUP(I89,'8Příloha_2_ceník_pravid_úklid'!$B$9:$C$30,2,0))</f>
        <v>7</v>
      </c>
      <c r="I89" s="143" t="s">
        <v>14</v>
      </c>
      <c r="J89" s="145">
        <v>1.7</v>
      </c>
      <c r="K89" s="22" t="s">
        <v>50</v>
      </c>
      <c r="L89" s="198" t="s">
        <v>22</v>
      </c>
      <c r="M89" s="22" t="s">
        <v>49</v>
      </c>
      <c r="N89" s="19">
        <f>IF((VLOOKUP(I89,'8Příloha_2_ceník_pravid_úklid'!$B$9:$I$30,8,0))=0,VLOOKUP(I89,'8Příloha_2_ceník_pravid_úklid'!$B$9:$K$30,10,0),VLOOKUP(I89,'8Příloha_2_ceník_pravid_úklid'!$B$9:$I$30,8,0))</f>
        <v>0</v>
      </c>
      <c r="O89" s="20">
        <v>2</v>
      </c>
      <c r="P89" s="20">
        <v>1</v>
      </c>
      <c r="Q89" s="20">
        <v>2</v>
      </c>
      <c r="R89" s="20">
        <v>1</v>
      </c>
      <c r="S89" s="21">
        <f>NETWORKDAYS.INTL(DATE(2018,1,1),DATE(2018,12,31),1,{"2018/1/1";"2018/3/30";"2018/4/2";"2018/5/1";"2018/5/8";"2018/7/5";"2018/7/6";"2018/09/28";"2018/11/17";"2018/12/24";"2018/12/25";"2018/12/26"})</f>
        <v>250</v>
      </c>
      <c r="T89" s="21">
        <f t="shared" si="7"/>
        <v>115</v>
      </c>
      <c r="U89" s="21">
        <f t="shared" si="8"/>
        <v>365</v>
      </c>
      <c r="V89" s="550">
        <f t="shared" si="9"/>
        <v>730</v>
      </c>
      <c r="W89" s="548">
        <f t="shared" si="10"/>
        <v>0</v>
      </c>
      <c r="X89" s="582">
        <f t="shared" si="11"/>
        <v>0</v>
      </c>
      <c r="Y89" s="189">
        <v>0</v>
      </c>
    </row>
    <row r="90" spans="1:25" ht="15" x14ac:dyDescent="0.2">
      <c r="A90" s="276" t="s">
        <v>527</v>
      </c>
      <c r="B90" s="23" t="s">
        <v>328</v>
      </c>
      <c r="C90" s="23" t="s">
        <v>164</v>
      </c>
      <c r="D90" s="567" t="str">
        <f>VLOOKUP(C90,'Seznam HS - nemaš'!$A$1:$B$96,2,FALSE)</f>
        <v>406300</v>
      </c>
      <c r="E90" s="22">
        <v>235</v>
      </c>
      <c r="F90" s="154" t="s">
        <v>437</v>
      </c>
      <c r="G90" s="154"/>
      <c r="H90" s="30">
        <f>+IF(ISBLANK(I90),0,VLOOKUP(I90,'8Příloha_2_ceník_pravid_úklid'!$B$9:$C$30,2,0))</f>
        <v>7</v>
      </c>
      <c r="I90" s="143" t="s">
        <v>14</v>
      </c>
      <c r="J90" s="145">
        <v>1.1499999999999999</v>
      </c>
      <c r="K90" s="22" t="s">
        <v>50</v>
      </c>
      <c r="L90" s="198" t="s">
        <v>22</v>
      </c>
      <c r="M90" s="22" t="s">
        <v>49</v>
      </c>
      <c r="N90" s="19">
        <f>IF((VLOOKUP(I90,'8Příloha_2_ceník_pravid_úklid'!$B$9:$I$30,8,0))=0,VLOOKUP(I90,'8Příloha_2_ceník_pravid_úklid'!$B$9:$K$30,10,0),VLOOKUP(I90,'8Příloha_2_ceník_pravid_úklid'!$B$9:$I$30,8,0))</f>
        <v>0</v>
      </c>
      <c r="O90" s="20">
        <v>2</v>
      </c>
      <c r="P90" s="20">
        <v>1</v>
      </c>
      <c r="Q90" s="20">
        <v>2</v>
      </c>
      <c r="R90" s="20">
        <v>1</v>
      </c>
      <c r="S90" s="21">
        <f>NETWORKDAYS.INTL(DATE(2018,1,1),DATE(2018,12,31),1,{"2018/1/1";"2018/3/30";"2018/4/2";"2018/5/1";"2018/5/8";"2018/7/5";"2018/7/6";"2018/09/28";"2018/11/17";"2018/12/24";"2018/12/25";"2018/12/26"})</f>
        <v>250</v>
      </c>
      <c r="T90" s="21">
        <f t="shared" si="7"/>
        <v>115</v>
      </c>
      <c r="U90" s="21">
        <f t="shared" si="8"/>
        <v>365</v>
      </c>
      <c r="V90" s="550">
        <f t="shared" si="9"/>
        <v>730</v>
      </c>
      <c r="W90" s="548">
        <f t="shared" si="10"/>
        <v>0</v>
      </c>
      <c r="X90" s="582">
        <f t="shared" si="11"/>
        <v>0</v>
      </c>
      <c r="Y90" s="189">
        <v>0</v>
      </c>
    </row>
    <row r="91" spans="1:25" ht="15" x14ac:dyDescent="0.2">
      <c r="A91" s="276" t="s">
        <v>527</v>
      </c>
      <c r="B91" s="23" t="s">
        <v>328</v>
      </c>
      <c r="C91" s="23" t="s">
        <v>164</v>
      </c>
      <c r="D91" s="567" t="str">
        <f>VLOOKUP(C91,'Seznam HS - nemaš'!$A$1:$B$96,2,FALSE)</f>
        <v>406300</v>
      </c>
      <c r="E91" s="22">
        <v>236</v>
      </c>
      <c r="F91" s="154" t="s">
        <v>610</v>
      </c>
      <c r="G91" s="154"/>
      <c r="H91" s="30">
        <f>+IF(ISBLANK(I91),0,VLOOKUP(I91,'8Příloha_2_ceník_pravid_úklid'!$B$9:$C$30,2,0))</f>
        <v>7</v>
      </c>
      <c r="I91" s="143" t="s">
        <v>14</v>
      </c>
      <c r="J91" s="145">
        <v>5.5</v>
      </c>
      <c r="K91" s="22" t="s">
        <v>50</v>
      </c>
      <c r="L91" s="198" t="s">
        <v>22</v>
      </c>
      <c r="M91" s="22" t="s">
        <v>49</v>
      </c>
      <c r="N91" s="19">
        <f>IF((VLOOKUP(I91,'8Příloha_2_ceník_pravid_úklid'!$B$9:$I$30,8,0))=0,VLOOKUP(I91,'8Příloha_2_ceník_pravid_úklid'!$B$9:$K$30,10,0),VLOOKUP(I91,'8Příloha_2_ceník_pravid_úklid'!$B$9:$I$30,8,0))</f>
        <v>0</v>
      </c>
      <c r="O91" s="20">
        <v>2</v>
      </c>
      <c r="P91" s="20">
        <v>1</v>
      </c>
      <c r="Q91" s="20">
        <v>2</v>
      </c>
      <c r="R91" s="20">
        <v>1</v>
      </c>
      <c r="S91" s="21">
        <f>NETWORKDAYS.INTL(DATE(2018,1,1),DATE(2018,12,31),1,{"2018/1/1";"2018/3/30";"2018/4/2";"2018/5/1";"2018/5/8";"2018/7/5";"2018/7/6";"2018/09/28";"2018/11/17";"2018/12/24";"2018/12/25";"2018/12/26"})</f>
        <v>250</v>
      </c>
      <c r="T91" s="21">
        <f t="shared" si="7"/>
        <v>115</v>
      </c>
      <c r="U91" s="21">
        <f t="shared" si="8"/>
        <v>365</v>
      </c>
      <c r="V91" s="550">
        <f t="shared" si="9"/>
        <v>730</v>
      </c>
      <c r="W91" s="548">
        <f t="shared" si="10"/>
        <v>0</v>
      </c>
      <c r="X91" s="582">
        <f t="shared" si="11"/>
        <v>0</v>
      </c>
      <c r="Y91" s="189">
        <v>0</v>
      </c>
    </row>
    <row r="92" spans="1:25" ht="15" x14ac:dyDescent="0.2">
      <c r="A92" s="276" t="s">
        <v>527</v>
      </c>
      <c r="B92" s="23" t="s">
        <v>328</v>
      </c>
      <c r="C92" s="23" t="s">
        <v>164</v>
      </c>
      <c r="D92" s="567" t="str">
        <f>VLOOKUP(C92,'Seznam HS - nemaš'!$A$1:$B$96,2,FALSE)</f>
        <v>406300</v>
      </c>
      <c r="E92" s="22">
        <v>237</v>
      </c>
      <c r="F92" s="154" t="s">
        <v>336</v>
      </c>
      <c r="G92" s="154"/>
      <c r="H92" s="30">
        <f>+IF(ISBLANK(I92),0,VLOOKUP(I92,'8Příloha_2_ceník_pravid_úklid'!$B$9:$C$30,2,0))</f>
        <v>8</v>
      </c>
      <c r="I92" s="143" t="s">
        <v>11</v>
      </c>
      <c r="J92" s="145">
        <v>5</v>
      </c>
      <c r="K92" s="22" t="s">
        <v>64</v>
      </c>
      <c r="L92" s="198" t="s">
        <v>609</v>
      </c>
      <c r="M92" s="22" t="s">
        <v>49</v>
      </c>
      <c r="N92" s="19">
        <f>IF((VLOOKUP(I92,'8Příloha_2_ceník_pravid_úklid'!$B$9:$I$30,8,0))=0,VLOOKUP(I92,'8Příloha_2_ceník_pravid_úklid'!$B$9:$K$30,10,0),VLOOKUP(I92,'8Příloha_2_ceník_pravid_úklid'!$B$9:$I$30,8,0))</f>
        <v>0</v>
      </c>
      <c r="O92" s="20">
        <v>1</v>
      </c>
      <c r="P92" s="20">
        <f>2/5</f>
        <v>0.4</v>
      </c>
      <c r="Q92" s="20">
        <v>0</v>
      </c>
      <c r="R92" s="20">
        <v>0</v>
      </c>
      <c r="S92" s="21">
        <f>NETWORKDAYS.INTL(DATE(2018,1,1),DATE(2018,12,31),1,{"2018/1/1";"2018/3/30";"2018/4/2";"2018/5/1";"2018/5/8";"2018/7/5";"2018/7/6";"2018/09/28";"2018/11/17";"2018/12/24";"2018/12/25";"2018/12/26"})</f>
        <v>250</v>
      </c>
      <c r="T92" s="21">
        <f t="shared" si="7"/>
        <v>115</v>
      </c>
      <c r="U92" s="21">
        <f t="shared" si="8"/>
        <v>365</v>
      </c>
      <c r="V92" s="550">
        <f t="shared" si="9"/>
        <v>100</v>
      </c>
      <c r="W92" s="548">
        <f t="shared" si="10"/>
        <v>0</v>
      </c>
      <c r="X92" s="582">
        <f t="shared" si="11"/>
        <v>0</v>
      </c>
      <c r="Y92" s="189">
        <v>0</v>
      </c>
    </row>
    <row r="93" spans="1:25" ht="15" x14ac:dyDescent="0.2">
      <c r="A93" s="276" t="s">
        <v>527</v>
      </c>
      <c r="B93" s="23" t="s">
        <v>328</v>
      </c>
      <c r="C93" s="23" t="s">
        <v>164</v>
      </c>
      <c r="D93" s="567" t="str">
        <f>VLOOKUP(C93,'Seznam HS - nemaš'!$A$1:$B$96,2,FALSE)</f>
        <v>406300</v>
      </c>
      <c r="E93" s="22">
        <v>238</v>
      </c>
      <c r="F93" s="154" t="s">
        <v>608</v>
      </c>
      <c r="G93" s="154"/>
      <c r="H93" s="30">
        <f>+IF(ISBLANK(I93),0,VLOOKUP(I93,'8Příloha_2_ceník_pravid_úklid'!$B$9:$C$30,2,0))</f>
        <v>2</v>
      </c>
      <c r="I93" s="143" t="s">
        <v>2</v>
      </c>
      <c r="J93" s="145">
        <v>22.56</v>
      </c>
      <c r="K93" s="22" t="s">
        <v>51</v>
      </c>
      <c r="L93" s="198" t="s">
        <v>537</v>
      </c>
      <c r="M93" s="22" t="s">
        <v>49</v>
      </c>
      <c r="N93" s="19">
        <f>IF((VLOOKUP(I93,'8Příloha_2_ceník_pravid_úklid'!$B$9:$I$30,8,0))=0,VLOOKUP(I93,'8Příloha_2_ceník_pravid_úklid'!$B$9:$K$30,10,0),VLOOKUP(I93,'8Příloha_2_ceník_pravid_úklid'!$B$9:$I$30,8,0))</f>
        <v>0</v>
      </c>
      <c r="O93" s="20">
        <v>1</v>
      </c>
      <c r="P93" s="20">
        <v>1</v>
      </c>
      <c r="Q93" s="20">
        <v>1</v>
      </c>
      <c r="R93" s="20">
        <v>1</v>
      </c>
      <c r="S93" s="21">
        <f>NETWORKDAYS.INTL(DATE(2018,1,1),DATE(2018,12,31),1,{"2018/1/1";"2018/3/30";"2018/4/2";"2018/5/1";"2018/5/8";"2018/7/5";"2018/7/6";"2018/09/28";"2018/11/17";"2018/12/24";"2018/12/25";"2018/12/26"})</f>
        <v>250</v>
      </c>
      <c r="T93" s="21">
        <f t="shared" si="7"/>
        <v>115</v>
      </c>
      <c r="U93" s="21">
        <f t="shared" si="8"/>
        <v>365</v>
      </c>
      <c r="V93" s="550">
        <f t="shared" si="9"/>
        <v>365</v>
      </c>
      <c r="W93" s="548">
        <f t="shared" si="10"/>
        <v>0</v>
      </c>
      <c r="X93" s="582">
        <f t="shared" si="11"/>
        <v>0</v>
      </c>
      <c r="Y93" s="189">
        <v>0</v>
      </c>
    </row>
    <row r="94" spans="1:25" ht="15" x14ac:dyDescent="0.2">
      <c r="A94" s="276" t="s">
        <v>527</v>
      </c>
      <c r="B94" s="23" t="s">
        <v>328</v>
      </c>
      <c r="C94" s="23" t="s">
        <v>164</v>
      </c>
      <c r="D94" s="567" t="str">
        <f>VLOOKUP(C94,'Seznam HS - nemaš'!$A$1:$B$96,2,FALSE)</f>
        <v>406300</v>
      </c>
      <c r="E94" s="22">
        <v>239</v>
      </c>
      <c r="F94" s="30" t="s">
        <v>565</v>
      </c>
      <c r="G94" s="30"/>
      <c r="H94" s="30">
        <f>+IF(ISBLANK(I94),0,VLOOKUP(I94,'8Příloha_2_ceník_pravid_úklid'!$B$9:$C$30,2,0))</f>
        <v>2</v>
      </c>
      <c r="I94" s="143" t="s">
        <v>2</v>
      </c>
      <c r="J94" s="145">
        <v>11</v>
      </c>
      <c r="K94" s="22" t="s">
        <v>51</v>
      </c>
      <c r="L94" s="198" t="s">
        <v>537</v>
      </c>
      <c r="M94" s="22" t="s">
        <v>49</v>
      </c>
      <c r="N94" s="19">
        <f>IF((VLOOKUP(I94,'8Příloha_2_ceník_pravid_úklid'!$B$9:$I$30,8,0))=0,VLOOKUP(I94,'8Příloha_2_ceník_pravid_úklid'!$B$9:$K$30,10,0),VLOOKUP(I94,'8Příloha_2_ceník_pravid_úklid'!$B$9:$I$30,8,0))</f>
        <v>0</v>
      </c>
      <c r="O94" s="20">
        <v>1</v>
      </c>
      <c r="P94" s="20">
        <v>1</v>
      </c>
      <c r="Q94" s="20">
        <v>1</v>
      </c>
      <c r="R94" s="20">
        <v>1</v>
      </c>
      <c r="S94" s="21">
        <f>NETWORKDAYS.INTL(DATE(2018,1,1),DATE(2018,12,31),1,{"2018/1/1";"2018/3/30";"2018/4/2";"2018/5/1";"2018/5/8";"2018/7/5";"2018/7/6";"2018/09/28";"2018/11/17";"2018/12/24";"2018/12/25";"2018/12/26"})</f>
        <v>250</v>
      </c>
      <c r="T94" s="21">
        <f t="shared" si="7"/>
        <v>115</v>
      </c>
      <c r="U94" s="21">
        <f t="shared" si="8"/>
        <v>365</v>
      </c>
      <c r="V94" s="550">
        <f t="shared" si="9"/>
        <v>365</v>
      </c>
      <c r="W94" s="548">
        <f t="shared" si="10"/>
        <v>0</v>
      </c>
      <c r="X94" s="582">
        <f t="shared" si="11"/>
        <v>0</v>
      </c>
      <c r="Y94" s="189">
        <v>0</v>
      </c>
    </row>
    <row r="95" spans="1:25" ht="15" x14ac:dyDescent="0.2">
      <c r="A95" s="276" t="s">
        <v>527</v>
      </c>
      <c r="B95" s="23" t="s">
        <v>328</v>
      </c>
      <c r="C95" s="23" t="s">
        <v>164</v>
      </c>
      <c r="D95" s="567" t="str">
        <f>VLOOKUP(C95,'Seznam HS - nemaš'!$A$1:$B$96,2,FALSE)</f>
        <v>406300</v>
      </c>
      <c r="E95" s="22">
        <v>240</v>
      </c>
      <c r="F95" s="154" t="s">
        <v>53</v>
      </c>
      <c r="G95" s="154"/>
      <c r="H95" s="30">
        <f>+IF(ISBLANK(I95),0,VLOOKUP(I95,'8Příloha_2_ceník_pravid_úklid'!$B$9:$C$30,2,0))</f>
        <v>6</v>
      </c>
      <c r="I95" s="143" t="s">
        <v>1</v>
      </c>
      <c r="J95" s="145">
        <v>6.68</v>
      </c>
      <c r="K95" s="22" t="s">
        <v>64</v>
      </c>
      <c r="L95" s="198" t="s">
        <v>22</v>
      </c>
      <c r="M95" s="22" t="s">
        <v>49</v>
      </c>
      <c r="N95" s="19">
        <f>IF((VLOOKUP(I95,'8Příloha_2_ceník_pravid_úklid'!$B$9:$I$30,8,0))=0,VLOOKUP(I95,'8Příloha_2_ceník_pravid_úklid'!$B$9:$K$30,10,0),VLOOKUP(I95,'8Příloha_2_ceník_pravid_úklid'!$B$9:$I$30,8,0))</f>
        <v>0</v>
      </c>
      <c r="O95" s="20">
        <v>2</v>
      </c>
      <c r="P95" s="20">
        <v>1</v>
      </c>
      <c r="Q95" s="20">
        <v>2</v>
      </c>
      <c r="R95" s="20">
        <v>1</v>
      </c>
      <c r="S95" s="21">
        <f>NETWORKDAYS.INTL(DATE(2018,1,1),DATE(2018,12,31),1,{"2018/1/1";"2018/3/30";"2018/4/2";"2018/5/1";"2018/5/8";"2018/7/5";"2018/7/6";"2018/09/28";"2018/11/17";"2018/12/24";"2018/12/25";"2018/12/26"})</f>
        <v>250</v>
      </c>
      <c r="T95" s="21">
        <f t="shared" si="7"/>
        <v>115</v>
      </c>
      <c r="U95" s="21">
        <f t="shared" si="8"/>
        <v>365</v>
      </c>
      <c r="V95" s="550">
        <f t="shared" si="9"/>
        <v>730</v>
      </c>
      <c r="W95" s="548">
        <f t="shared" si="10"/>
        <v>0</v>
      </c>
      <c r="X95" s="582">
        <f t="shared" si="11"/>
        <v>0</v>
      </c>
      <c r="Y95" s="189">
        <v>0</v>
      </c>
    </row>
    <row r="96" spans="1:25" ht="15" x14ac:dyDescent="0.2">
      <c r="A96" s="338" t="s">
        <v>527</v>
      </c>
      <c r="B96" s="32" t="s">
        <v>328</v>
      </c>
      <c r="C96" s="32" t="s">
        <v>164</v>
      </c>
      <c r="D96" s="85" t="str">
        <f>VLOOKUP(C96,'Seznam HS - nemaš'!$A$1:$B$96,2,FALSE)</f>
        <v>406300</v>
      </c>
      <c r="E96" s="29">
        <v>241</v>
      </c>
      <c r="F96" s="150" t="s">
        <v>437</v>
      </c>
      <c r="G96" s="150" t="s">
        <v>594</v>
      </c>
      <c r="H96" s="28">
        <f>+IF(ISBLANK(I96),0,VLOOKUP(I96,'8Příloha_2_ceník_pravid_úklid'!$B$9:$C$30,2,0))</f>
        <v>7</v>
      </c>
      <c r="I96" s="149" t="s">
        <v>14</v>
      </c>
      <c r="J96" s="172">
        <v>1.81</v>
      </c>
      <c r="K96" s="29" t="s">
        <v>64</v>
      </c>
      <c r="L96" s="292" t="s">
        <v>22</v>
      </c>
      <c r="M96" s="29" t="s">
        <v>49</v>
      </c>
      <c r="N96" s="24">
        <f>IF((VLOOKUP(I96,'8Příloha_2_ceník_pravid_úklid'!$B$9:$I$30,8,0))=0,VLOOKUP(I96,'8Příloha_2_ceník_pravid_úklid'!$B$9:$K$30,10,0),VLOOKUP(I96,'8Příloha_2_ceník_pravid_úklid'!$B$9:$I$30,8,0))</f>
        <v>0</v>
      </c>
      <c r="O96" s="25">
        <v>2</v>
      </c>
      <c r="P96" s="25">
        <v>1</v>
      </c>
      <c r="Q96" s="25">
        <v>2</v>
      </c>
      <c r="R96" s="25">
        <v>1</v>
      </c>
      <c r="S96" s="26">
        <f>NETWORKDAYS.INTL(DATE(2018,1,1),DATE(2018,12,31),1,{"2018/1/1";"2018/3/30";"2018/4/2";"2018/5/1";"2018/5/8";"2018/7/5";"2018/7/6";"2018/09/28";"2018/11/17";"2018/12/24";"2018/12/25";"2018/12/26"})</f>
        <v>250</v>
      </c>
      <c r="T96" s="26">
        <f t="shared" si="7"/>
        <v>115</v>
      </c>
      <c r="U96" s="26">
        <f t="shared" si="8"/>
        <v>365</v>
      </c>
      <c r="V96" s="592">
        <f t="shared" si="9"/>
        <v>730</v>
      </c>
      <c r="W96" s="593">
        <f t="shared" si="10"/>
        <v>0</v>
      </c>
      <c r="X96" s="594">
        <f t="shared" si="11"/>
        <v>0</v>
      </c>
      <c r="Y96" s="591">
        <v>0</v>
      </c>
    </row>
    <row r="97" spans="1:25" ht="15" x14ac:dyDescent="0.2">
      <c r="A97" s="276" t="s">
        <v>527</v>
      </c>
      <c r="B97" s="23" t="s">
        <v>328</v>
      </c>
      <c r="C97" s="23" t="s">
        <v>164</v>
      </c>
      <c r="D97" s="567" t="str">
        <f>VLOOKUP(C97,'Seznam HS - nemaš'!$A$1:$B$96,2,FALSE)</f>
        <v>406300</v>
      </c>
      <c r="E97" s="22">
        <v>242</v>
      </c>
      <c r="F97" s="154" t="s">
        <v>437</v>
      </c>
      <c r="G97" s="154" t="s">
        <v>540</v>
      </c>
      <c r="H97" s="30">
        <f>+IF(ISBLANK(I97),0,VLOOKUP(I97,'8Příloha_2_ceník_pravid_úklid'!$B$9:$C$30,2,0))</f>
        <v>7</v>
      </c>
      <c r="I97" s="143" t="s">
        <v>14</v>
      </c>
      <c r="J97" s="145">
        <v>2</v>
      </c>
      <c r="K97" s="22" t="s">
        <v>64</v>
      </c>
      <c r="L97" s="198" t="s">
        <v>22</v>
      </c>
      <c r="M97" s="22" t="s">
        <v>49</v>
      </c>
      <c r="N97" s="19">
        <f>IF((VLOOKUP(I97,'8Příloha_2_ceník_pravid_úklid'!$B$9:$I$30,8,0))=0,VLOOKUP(I97,'8Příloha_2_ceník_pravid_úklid'!$B$9:$K$30,10,0),VLOOKUP(I97,'8Příloha_2_ceník_pravid_úklid'!$B$9:$I$30,8,0))</f>
        <v>0</v>
      </c>
      <c r="O97" s="20">
        <v>2</v>
      </c>
      <c r="P97" s="20">
        <v>1</v>
      </c>
      <c r="Q97" s="20">
        <v>2</v>
      </c>
      <c r="R97" s="20">
        <v>1</v>
      </c>
      <c r="S97" s="21">
        <f>NETWORKDAYS.INTL(DATE(2018,1,1),DATE(2018,12,31),1,{"2018/1/1";"2018/3/30";"2018/4/2";"2018/5/1";"2018/5/8";"2018/7/5";"2018/7/6";"2018/09/28";"2018/11/17";"2018/12/24";"2018/12/25";"2018/12/26"})</f>
        <v>250</v>
      </c>
      <c r="T97" s="21">
        <f t="shared" si="7"/>
        <v>115</v>
      </c>
      <c r="U97" s="21">
        <f t="shared" si="8"/>
        <v>365</v>
      </c>
      <c r="V97" s="550">
        <f t="shared" si="9"/>
        <v>730</v>
      </c>
      <c r="W97" s="548">
        <f t="shared" si="10"/>
        <v>0</v>
      </c>
      <c r="X97" s="582">
        <f t="shared" si="11"/>
        <v>0</v>
      </c>
      <c r="Y97" s="189">
        <v>0</v>
      </c>
    </row>
    <row r="98" spans="1:25" ht="15" x14ac:dyDescent="0.2">
      <c r="A98" s="276" t="s">
        <v>527</v>
      </c>
      <c r="B98" s="23" t="s">
        <v>328</v>
      </c>
      <c r="C98" s="23" t="s">
        <v>164</v>
      </c>
      <c r="D98" s="567" t="str">
        <f>VLOOKUP(C98,'Seznam HS - nemaš'!$A$1:$B$96,2,FALSE)</f>
        <v>406300</v>
      </c>
      <c r="E98" s="22">
        <v>243</v>
      </c>
      <c r="F98" s="154" t="s">
        <v>446</v>
      </c>
      <c r="G98" s="154"/>
      <c r="H98" s="30">
        <f>+IF(ISBLANK(I98),0,VLOOKUP(I98,'8Příloha_2_ceník_pravid_úklid'!$B$9:$C$30,2,0))</f>
        <v>7</v>
      </c>
      <c r="I98" s="143" t="s">
        <v>14</v>
      </c>
      <c r="J98" s="145">
        <v>4.9000000000000004</v>
      </c>
      <c r="K98" s="22" t="s">
        <v>64</v>
      </c>
      <c r="L98" s="198" t="s">
        <v>22</v>
      </c>
      <c r="M98" s="22" t="s">
        <v>49</v>
      </c>
      <c r="N98" s="19">
        <f>IF((VLOOKUP(I98,'8Příloha_2_ceník_pravid_úklid'!$B$9:$I$30,8,0))=0,VLOOKUP(I98,'8Příloha_2_ceník_pravid_úklid'!$B$9:$K$30,10,0),VLOOKUP(I98,'8Příloha_2_ceník_pravid_úklid'!$B$9:$I$30,8,0))</f>
        <v>0</v>
      </c>
      <c r="O98" s="20">
        <v>2</v>
      </c>
      <c r="P98" s="20">
        <v>1</v>
      </c>
      <c r="Q98" s="20">
        <v>2</v>
      </c>
      <c r="R98" s="20">
        <v>1</v>
      </c>
      <c r="S98" s="21">
        <f>NETWORKDAYS.INTL(DATE(2018,1,1),DATE(2018,12,31),1,{"2018/1/1";"2018/3/30";"2018/4/2";"2018/5/1";"2018/5/8";"2018/7/5";"2018/7/6";"2018/09/28";"2018/11/17";"2018/12/24";"2018/12/25";"2018/12/26"})</f>
        <v>250</v>
      </c>
      <c r="T98" s="21">
        <f t="shared" si="7"/>
        <v>115</v>
      </c>
      <c r="U98" s="21">
        <f t="shared" si="8"/>
        <v>365</v>
      </c>
      <c r="V98" s="550">
        <f t="shared" si="9"/>
        <v>730</v>
      </c>
      <c r="W98" s="548">
        <f t="shared" si="10"/>
        <v>0</v>
      </c>
      <c r="X98" s="582">
        <f t="shared" si="11"/>
        <v>0</v>
      </c>
      <c r="Y98" s="189">
        <v>0</v>
      </c>
    </row>
    <row r="99" spans="1:25" ht="15" x14ac:dyDescent="0.2">
      <c r="A99" s="276" t="s">
        <v>527</v>
      </c>
      <c r="B99" s="23" t="s">
        <v>328</v>
      </c>
      <c r="C99" s="23" t="s">
        <v>164</v>
      </c>
      <c r="D99" s="567" t="str">
        <f>VLOOKUP(C99,'Seznam HS - nemaš'!$A$1:$B$96,2,FALSE)</f>
        <v>406300</v>
      </c>
      <c r="E99" s="22">
        <v>244</v>
      </c>
      <c r="F99" s="154" t="s">
        <v>437</v>
      </c>
      <c r="G99" s="154" t="s">
        <v>607</v>
      </c>
      <c r="H99" s="30">
        <f>+IF(ISBLANK(I99),0,VLOOKUP(I99,'8Příloha_2_ceník_pravid_úklid'!$B$9:$C$30,2,0))</f>
        <v>7</v>
      </c>
      <c r="I99" s="143" t="s">
        <v>14</v>
      </c>
      <c r="J99" s="145">
        <v>1.41</v>
      </c>
      <c r="K99" s="22" t="s">
        <v>50</v>
      </c>
      <c r="L99" s="198" t="s">
        <v>22</v>
      </c>
      <c r="M99" s="22" t="s">
        <v>49</v>
      </c>
      <c r="N99" s="19">
        <f>IF((VLOOKUP(I99,'8Příloha_2_ceník_pravid_úklid'!$B$9:$I$30,8,0))=0,VLOOKUP(I99,'8Příloha_2_ceník_pravid_úklid'!$B$9:$K$30,10,0),VLOOKUP(I99,'8Příloha_2_ceník_pravid_úklid'!$B$9:$I$30,8,0))</f>
        <v>0</v>
      </c>
      <c r="O99" s="20">
        <v>2</v>
      </c>
      <c r="P99" s="20">
        <v>1</v>
      </c>
      <c r="Q99" s="20">
        <v>2</v>
      </c>
      <c r="R99" s="20">
        <v>1</v>
      </c>
      <c r="S99" s="21">
        <f>NETWORKDAYS.INTL(DATE(2018,1,1),DATE(2018,12,31),1,{"2018/1/1";"2018/3/30";"2018/4/2";"2018/5/1";"2018/5/8";"2018/7/5";"2018/7/6";"2018/09/28";"2018/11/17";"2018/12/24";"2018/12/25";"2018/12/26"})</f>
        <v>250</v>
      </c>
      <c r="T99" s="21">
        <f t="shared" si="7"/>
        <v>115</v>
      </c>
      <c r="U99" s="21">
        <f t="shared" si="8"/>
        <v>365</v>
      </c>
      <c r="V99" s="550">
        <f t="shared" si="9"/>
        <v>730</v>
      </c>
      <c r="W99" s="548">
        <f t="shared" si="10"/>
        <v>0</v>
      </c>
      <c r="X99" s="582">
        <f t="shared" si="11"/>
        <v>0</v>
      </c>
      <c r="Y99" s="189">
        <v>0</v>
      </c>
    </row>
    <row r="100" spans="1:25" ht="15" x14ac:dyDescent="0.2">
      <c r="A100" s="276" t="s">
        <v>527</v>
      </c>
      <c r="B100" s="23" t="s">
        <v>328</v>
      </c>
      <c r="C100" s="23" t="s">
        <v>164</v>
      </c>
      <c r="D100" s="567" t="str">
        <f>VLOOKUP(C100,'Seznam HS - nemaš'!$A$1:$B$96,2,FALSE)</f>
        <v>406300</v>
      </c>
      <c r="E100" s="22">
        <v>245</v>
      </c>
      <c r="F100" s="154" t="s">
        <v>437</v>
      </c>
      <c r="G100" s="154" t="s">
        <v>539</v>
      </c>
      <c r="H100" s="30">
        <f>+IF(ISBLANK(I100),0,VLOOKUP(I100,'8Příloha_2_ceník_pravid_úklid'!$B$9:$C$30,2,0))</f>
        <v>7</v>
      </c>
      <c r="I100" s="143" t="s">
        <v>14</v>
      </c>
      <c r="J100" s="145">
        <v>2.17</v>
      </c>
      <c r="K100" s="22" t="s">
        <v>64</v>
      </c>
      <c r="L100" s="198" t="s">
        <v>22</v>
      </c>
      <c r="M100" s="22" t="s">
        <v>49</v>
      </c>
      <c r="N100" s="19">
        <f>IF((VLOOKUP(I100,'8Příloha_2_ceník_pravid_úklid'!$B$9:$I$30,8,0))=0,VLOOKUP(I100,'8Příloha_2_ceník_pravid_úklid'!$B$9:$K$30,10,0),VLOOKUP(I100,'8Příloha_2_ceník_pravid_úklid'!$B$9:$I$30,8,0))</f>
        <v>0</v>
      </c>
      <c r="O100" s="20">
        <v>2</v>
      </c>
      <c r="P100" s="20">
        <v>1</v>
      </c>
      <c r="Q100" s="20">
        <v>2</v>
      </c>
      <c r="R100" s="20">
        <v>1</v>
      </c>
      <c r="S100" s="21">
        <f>NETWORKDAYS.INTL(DATE(2018,1,1),DATE(2018,12,31),1,{"2018/1/1";"2018/3/30";"2018/4/2";"2018/5/1";"2018/5/8";"2018/7/5";"2018/7/6";"2018/09/28";"2018/11/17";"2018/12/24";"2018/12/25";"2018/12/26"})</f>
        <v>250</v>
      </c>
      <c r="T100" s="21">
        <f t="shared" si="7"/>
        <v>115</v>
      </c>
      <c r="U100" s="21">
        <f t="shared" si="8"/>
        <v>365</v>
      </c>
      <c r="V100" s="550">
        <f t="shared" si="9"/>
        <v>730</v>
      </c>
      <c r="W100" s="548">
        <f t="shared" si="10"/>
        <v>0</v>
      </c>
      <c r="X100" s="582">
        <f t="shared" si="11"/>
        <v>0</v>
      </c>
      <c r="Y100" s="189">
        <v>0</v>
      </c>
    </row>
    <row r="101" spans="1:25" ht="15" x14ac:dyDescent="0.2">
      <c r="A101" s="276" t="s">
        <v>527</v>
      </c>
      <c r="B101" s="23" t="s">
        <v>328</v>
      </c>
      <c r="C101" s="23" t="s">
        <v>164</v>
      </c>
      <c r="D101" s="567" t="str">
        <f>VLOOKUP(C101,'Seznam HS - nemaš'!$A$1:$B$96,2,FALSE)</f>
        <v>406300</v>
      </c>
      <c r="E101" s="22">
        <v>246</v>
      </c>
      <c r="F101" s="154" t="s">
        <v>564</v>
      </c>
      <c r="G101" s="154" t="s">
        <v>544</v>
      </c>
      <c r="H101" s="30">
        <f>+IF(ISBLANK(I101),0,VLOOKUP(I101,'8Příloha_2_ceník_pravid_úklid'!$B$9:$C$30,2,0))</f>
        <v>4</v>
      </c>
      <c r="I101" s="143" t="s">
        <v>9</v>
      </c>
      <c r="J101" s="145">
        <v>8.5500000000000007</v>
      </c>
      <c r="K101" s="22" t="s">
        <v>51</v>
      </c>
      <c r="L101" s="156" t="s">
        <v>21</v>
      </c>
      <c r="M101" s="22" t="s">
        <v>49</v>
      </c>
      <c r="N101" s="19">
        <f>IF((VLOOKUP(I101,'8Příloha_2_ceník_pravid_úklid'!$B$9:$I$30,8,0))=0,VLOOKUP(I101,'8Příloha_2_ceník_pravid_úklid'!$B$9:$K$30,10,0),VLOOKUP(I101,'8Příloha_2_ceník_pravid_úklid'!$B$9:$I$30,8,0))</f>
        <v>0</v>
      </c>
      <c r="O101" s="20">
        <v>1</v>
      </c>
      <c r="P101" s="20">
        <v>1</v>
      </c>
      <c r="Q101" s="20">
        <v>0</v>
      </c>
      <c r="R101" s="20">
        <v>0</v>
      </c>
      <c r="S101" s="21">
        <f>NETWORKDAYS.INTL(DATE(2018,1,1),DATE(2018,12,31),1,{"2018/1/1";"2018/3/30";"2018/4/2";"2018/5/1";"2018/5/8";"2018/7/5";"2018/7/6";"2018/09/28";"2018/11/17";"2018/12/24";"2018/12/25";"2018/12/26"})</f>
        <v>250</v>
      </c>
      <c r="T101" s="21">
        <f t="shared" si="7"/>
        <v>115</v>
      </c>
      <c r="U101" s="21">
        <f t="shared" si="8"/>
        <v>365</v>
      </c>
      <c r="V101" s="550">
        <f t="shared" si="9"/>
        <v>250</v>
      </c>
      <c r="W101" s="548">
        <f t="shared" si="10"/>
        <v>0</v>
      </c>
      <c r="X101" s="582">
        <f t="shared" si="11"/>
        <v>0</v>
      </c>
      <c r="Y101" s="189">
        <v>0</v>
      </c>
    </row>
    <row r="102" spans="1:25" ht="15" x14ac:dyDescent="0.2">
      <c r="A102" s="138" t="s">
        <v>527</v>
      </c>
      <c r="B102" s="142" t="s">
        <v>611</v>
      </c>
      <c r="C102" s="142" t="s">
        <v>129</v>
      </c>
      <c r="D102" s="506">
        <f>VLOOKUP(C102,'Seznam HS - nemaš'!$A$1:$B$96,2,FALSE)</f>
        <v>401100</v>
      </c>
      <c r="E102" s="243">
        <v>301</v>
      </c>
      <c r="F102" s="244" t="s">
        <v>336</v>
      </c>
      <c r="G102" s="244" t="s">
        <v>1707</v>
      </c>
      <c r="H102" s="30">
        <f>+IF(ISBLANK(I102),0,VLOOKUP(I102,'8Příloha_2_ceník_pravid_úklid'!$B$9:$C$30,2,0))</f>
        <v>6</v>
      </c>
      <c r="I102" s="143" t="s">
        <v>1</v>
      </c>
      <c r="J102" s="145">
        <v>17.309999999999999</v>
      </c>
      <c r="K102" s="22" t="s">
        <v>51</v>
      </c>
      <c r="L102" s="198" t="s">
        <v>22</v>
      </c>
      <c r="M102" s="22" t="s">
        <v>49</v>
      </c>
      <c r="N102" s="19">
        <f>IF((VLOOKUP(I102,'8Příloha_2_ceník_pravid_úklid'!$B$9:$I$30,8,0))=0,VLOOKUP(I102,'8Příloha_2_ceník_pravid_úklid'!$B$9:$K$30,10,0),VLOOKUP(I102,'8Příloha_2_ceník_pravid_úklid'!$B$9:$I$30,8,0))</f>
        <v>0</v>
      </c>
      <c r="O102" s="20">
        <v>2</v>
      </c>
      <c r="P102" s="20">
        <v>1</v>
      </c>
      <c r="Q102" s="20">
        <v>2</v>
      </c>
      <c r="R102" s="20">
        <v>1</v>
      </c>
      <c r="S102" s="21">
        <f>NETWORKDAYS.INTL(DATE(2018,1,1),DATE(2018,12,31),1,{"2018/1/1";"2018/3/30";"2018/4/2";"2018/5/1";"2018/5/8";"2018/7/5";"2018/7/6";"2018/09/28";"2018/11/17";"2018/12/24";"2018/12/25";"2018/12/26"})</f>
        <v>250</v>
      </c>
      <c r="T102" s="21">
        <f t="shared" ref="T102:T133" si="12">U102-S102</f>
        <v>115</v>
      </c>
      <c r="U102" s="21">
        <f t="shared" ref="U102:U133" si="13">_xlfn.DAYS("1.1.2019","1.1.2018")</f>
        <v>365</v>
      </c>
      <c r="V102" s="311">
        <f t="shared" si="9"/>
        <v>730</v>
      </c>
      <c r="W102" s="308">
        <f t="shared" si="10"/>
        <v>0</v>
      </c>
      <c r="X102" s="583">
        <f t="shared" si="11"/>
        <v>0</v>
      </c>
      <c r="Y102" s="189">
        <v>0</v>
      </c>
    </row>
    <row r="103" spans="1:25" ht="15" x14ac:dyDescent="0.2">
      <c r="A103" s="138" t="s">
        <v>527</v>
      </c>
      <c r="B103" s="142" t="s">
        <v>611</v>
      </c>
      <c r="C103" s="142" t="s">
        <v>129</v>
      </c>
      <c r="D103" s="506">
        <f>VLOOKUP(C103,'Seznam HS - nemaš'!$A$1:$B$96,2,FALSE)</f>
        <v>401100</v>
      </c>
      <c r="E103" s="243" t="s">
        <v>1733</v>
      </c>
      <c r="F103" s="244" t="s">
        <v>336</v>
      </c>
      <c r="G103" s="244"/>
      <c r="H103" s="30">
        <f>+IF(ISBLANK(I103),0,VLOOKUP(I103,'8Příloha_2_ceník_pravid_úklid'!$B$9:$C$30,2,0))</f>
        <v>8</v>
      </c>
      <c r="I103" s="143" t="s">
        <v>11</v>
      </c>
      <c r="J103" s="145">
        <v>19.7</v>
      </c>
      <c r="K103" s="22" t="s">
        <v>64</v>
      </c>
      <c r="L103" s="198" t="s">
        <v>22</v>
      </c>
      <c r="M103" s="22" t="s">
        <v>49</v>
      </c>
      <c r="N103" s="19">
        <f>IF((VLOOKUP(I103,'8Příloha_2_ceník_pravid_úklid'!$B$9:$I$30,8,0))=0,VLOOKUP(I103,'8Příloha_2_ceník_pravid_úklid'!$B$9:$K$30,10,0),VLOOKUP(I103,'8Příloha_2_ceník_pravid_úklid'!$B$9:$I$30,8,0))</f>
        <v>0</v>
      </c>
      <c r="O103" s="20">
        <v>2</v>
      </c>
      <c r="P103" s="20">
        <v>1</v>
      </c>
      <c r="Q103" s="20">
        <v>2</v>
      </c>
      <c r="R103" s="20">
        <v>1</v>
      </c>
      <c r="S103" s="21">
        <f>NETWORKDAYS.INTL(DATE(2018,1,1),DATE(2018,12,31),1,{"2018/1/1";"2018/3/30";"2018/4/2";"2018/5/1";"2018/5/8";"2018/7/5";"2018/7/6";"2018/09/28";"2018/11/17";"2018/12/24";"2018/12/25";"2018/12/26"})</f>
        <v>250</v>
      </c>
      <c r="T103" s="21">
        <f t="shared" si="12"/>
        <v>115</v>
      </c>
      <c r="U103" s="21">
        <f t="shared" si="13"/>
        <v>365</v>
      </c>
      <c r="V103" s="311">
        <f t="shared" si="9"/>
        <v>730</v>
      </c>
      <c r="W103" s="308">
        <f t="shared" si="10"/>
        <v>0</v>
      </c>
      <c r="X103" s="583">
        <f t="shared" si="11"/>
        <v>0</v>
      </c>
      <c r="Y103" s="189">
        <v>0</v>
      </c>
    </row>
    <row r="104" spans="1:25" ht="15" x14ac:dyDescent="0.2">
      <c r="A104" s="138" t="s">
        <v>527</v>
      </c>
      <c r="B104" s="142" t="s">
        <v>611</v>
      </c>
      <c r="C104" s="142" t="s">
        <v>129</v>
      </c>
      <c r="D104" s="506">
        <f>VLOOKUP(C104,'Seznam HS - nemaš'!$A$1:$B$96,2,FALSE)</f>
        <v>401100</v>
      </c>
      <c r="E104" s="243">
        <v>302</v>
      </c>
      <c r="F104" s="244" t="s">
        <v>53</v>
      </c>
      <c r="G104" s="244"/>
      <c r="H104" s="30">
        <f>+IF(ISBLANK(I104),0,VLOOKUP(I104,'8Příloha_2_ceník_pravid_úklid'!$B$9:$C$30,2,0))</f>
        <v>6</v>
      </c>
      <c r="I104" s="143" t="s">
        <v>1</v>
      </c>
      <c r="J104" s="145">
        <v>59.68</v>
      </c>
      <c r="K104" s="22" t="s">
        <v>51</v>
      </c>
      <c r="L104" s="198" t="s">
        <v>22</v>
      </c>
      <c r="M104" s="22" t="s">
        <v>49</v>
      </c>
      <c r="N104" s="19">
        <f>IF((VLOOKUP(I104,'8Příloha_2_ceník_pravid_úklid'!$B$9:$I$30,8,0))=0,VLOOKUP(I104,'8Příloha_2_ceník_pravid_úklid'!$B$9:$K$30,10,0),VLOOKUP(I104,'8Příloha_2_ceník_pravid_úklid'!$B$9:$I$30,8,0))</f>
        <v>0</v>
      </c>
      <c r="O104" s="20">
        <v>2</v>
      </c>
      <c r="P104" s="20">
        <v>1</v>
      </c>
      <c r="Q104" s="20">
        <v>2</v>
      </c>
      <c r="R104" s="20">
        <v>1</v>
      </c>
      <c r="S104" s="21">
        <f>NETWORKDAYS.INTL(DATE(2018,1,1),DATE(2018,12,31),1,{"2018/1/1";"2018/3/30";"2018/4/2";"2018/5/1";"2018/5/8";"2018/7/5";"2018/7/6";"2018/09/28";"2018/11/17";"2018/12/24";"2018/12/25";"2018/12/26"})</f>
        <v>250</v>
      </c>
      <c r="T104" s="21">
        <f t="shared" si="12"/>
        <v>115</v>
      </c>
      <c r="U104" s="21">
        <f t="shared" si="13"/>
        <v>365</v>
      </c>
      <c r="V104" s="311">
        <f t="shared" si="9"/>
        <v>730</v>
      </c>
      <c r="W104" s="308">
        <f t="shared" si="10"/>
        <v>0</v>
      </c>
      <c r="X104" s="583">
        <f t="shared" si="11"/>
        <v>0</v>
      </c>
      <c r="Y104" s="189">
        <v>0</v>
      </c>
    </row>
    <row r="105" spans="1:25" ht="15" x14ac:dyDescent="0.2">
      <c r="A105" s="138" t="s">
        <v>527</v>
      </c>
      <c r="B105" s="142" t="s">
        <v>611</v>
      </c>
      <c r="C105" s="142" t="s">
        <v>129</v>
      </c>
      <c r="D105" s="506">
        <f>VLOOKUP(C105,'Seznam HS - nemaš'!$A$1:$B$96,2,FALSE)</f>
        <v>401100</v>
      </c>
      <c r="E105" s="243">
        <v>303</v>
      </c>
      <c r="F105" s="244" t="s">
        <v>567</v>
      </c>
      <c r="G105" s="244"/>
      <c r="H105" s="30">
        <f>+IF(ISBLANK(I105),0,VLOOKUP(I105,'8Příloha_2_ceník_pravid_úklid'!$B$9:$C$30,2,0))</f>
        <v>1</v>
      </c>
      <c r="I105" s="143" t="s">
        <v>78</v>
      </c>
      <c r="J105" s="145">
        <v>32.49</v>
      </c>
      <c r="K105" s="22" t="s">
        <v>51</v>
      </c>
      <c r="L105" s="198" t="s">
        <v>537</v>
      </c>
      <c r="M105" s="22" t="s">
        <v>49</v>
      </c>
      <c r="N105" s="19">
        <f>IF((VLOOKUP(I105,'8Příloha_2_ceník_pravid_úklid'!$B$9:$I$30,8,0))=0,VLOOKUP(I105,'8Příloha_2_ceník_pravid_úklid'!$B$9:$K$30,10,0),VLOOKUP(I105,'8Příloha_2_ceník_pravid_úklid'!$B$9:$I$30,8,0))</f>
        <v>0</v>
      </c>
      <c r="O105" s="20">
        <v>1</v>
      </c>
      <c r="P105" s="20">
        <v>1</v>
      </c>
      <c r="Q105" s="20">
        <v>1</v>
      </c>
      <c r="R105" s="20">
        <v>1</v>
      </c>
      <c r="S105" s="21">
        <f>NETWORKDAYS.INTL(DATE(2018,1,1),DATE(2018,12,31),1,{"2018/1/1";"2018/3/30";"2018/4/2";"2018/5/1";"2018/5/8";"2018/7/5";"2018/7/6";"2018/09/28";"2018/11/17";"2018/12/24";"2018/12/25";"2018/12/26"})</f>
        <v>250</v>
      </c>
      <c r="T105" s="21">
        <f t="shared" si="12"/>
        <v>115</v>
      </c>
      <c r="U105" s="21">
        <f t="shared" si="13"/>
        <v>365</v>
      </c>
      <c r="V105" s="311">
        <f t="shared" si="9"/>
        <v>365</v>
      </c>
      <c r="W105" s="308">
        <f t="shared" si="10"/>
        <v>0</v>
      </c>
      <c r="X105" s="583">
        <f t="shared" si="11"/>
        <v>0</v>
      </c>
      <c r="Y105" s="189">
        <v>0</v>
      </c>
    </row>
    <row r="106" spans="1:25" ht="15" x14ac:dyDescent="0.2">
      <c r="A106" s="138" t="s">
        <v>527</v>
      </c>
      <c r="B106" s="142" t="s">
        <v>611</v>
      </c>
      <c r="C106" s="142" t="s">
        <v>129</v>
      </c>
      <c r="D106" s="506">
        <f>VLOOKUP(C106,'Seznam HS - nemaš'!$A$1:$B$96,2,FALSE)</f>
        <v>401100</v>
      </c>
      <c r="E106" s="243">
        <v>304</v>
      </c>
      <c r="F106" s="244" t="s">
        <v>567</v>
      </c>
      <c r="G106" s="244"/>
      <c r="H106" s="30">
        <f>+IF(ISBLANK(I106),0,VLOOKUP(I106,'8Příloha_2_ceník_pravid_úklid'!$B$9:$C$30,2,0))</f>
        <v>1</v>
      </c>
      <c r="I106" s="143" t="s">
        <v>78</v>
      </c>
      <c r="J106" s="145">
        <v>17.38</v>
      </c>
      <c r="K106" s="22" t="s">
        <v>51</v>
      </c>
      <c r="L106" s="198" t="s">
        <v>537</v>
      </c>
      <c r="M106" s="22" t="s">
        <v>49</v>
      </c>
      <c r="N106" s="19">
        <f>IF((VLOOKUP(I106,'8Příloha_2_ceník_pravid_úklid'!$B$9:$I$30,8,0))=0,VLOOKUP(I106,'8Příloha_2_ceník_pravid_úklid'!$B$9:$K$30,10,0),VLOOKUP(I106,'8Příloha_2_ceník_pravid_úklid'!$B$9:$I$30,8,0))</f>
        <v>0</v>
      </c>
      <c r="O106" s="20">
        <v>1</v>
      </c>
      <c r="P106" s="20">
        <v>1</v>
      </c>
      <c r="Q106" s="20">
        <v>1</v>
      </c>
      <c r="R106" s="20">
        <v>1</v>
      </c>
      <c r="S106" s="21">
        <f>NETWORKDAYS.INTL(DATE(2018,1,1),DATE(2018,12,31),1,{"2018/1/1";"2018/3/30";"2018/4/2";"2018/5/1";"2018/5/8";"2018/7/5";"2018/7/6";"2018/09/28";"2018/11/17";"2018/12/24";"2018/12/25";"2018/12/26"})</f>
        <v>250</v>
      </c>
      <c r="T106" s="21">
        <f t="shared" si="12"/>
        <v>115</v>
      </c>
      <c r="U106" s="21">
        <f t="shared" si="13"/>
        <v>365</v>
      </c>
      <c r="V106" s="311">
        <f t="shared" si="9"/>
        <v>365</v>
      </c>
      <c r="W106" s="308">
        <f t="shared" si="10"/>
        <v>0</v>
      </c>
      <c r="X106" s="583">
        <f t="shared" si="11"/>
        <v>0</v>
      </c>
      <c r="Y106" s="189">
        <v>0</v>
      </c>
    </row>
    <row r="107" spans="1:25" ht="15" x14ac:dyDescent="0.2">
      <c r="A107" s="138" t="s">
        <v>527</v>
      </c>
      <c r="B107" s="142" t="s">
        <v>611</v>
      </c>
      <c r="C107" s="142" t="s">
        <v>129</v>
      </c>
      <c r="D107" s="506">
        <f>VLOOKUP(C107,'Seznam HS - nemaš'!$A$1:$B$96,2,FALSE)</f>
        <v>401100</v>
      </c>
      <c r="E107" s="243">
        <v>305</v>
      </c>
      <c r="F107" s="244" t="s">
        <v>567</v>
      </c>
      <c r="G107" s="244"/>
      <c r="H107" s="30">
        <f>+IF(ISBLANK(I107),0,VLOOKUP(I107,'8Příloha_2_ceník_pravid_úklid'!$B$9:$C$30,2,0))</f>
        <v>1</v>
      </c>
      <c r="I107" s="143" t="s">
        <v>78</v>
      </c>
      <c r="J107" s="145">
        <v>15.96</v>
      </c>
      <c r="K107" s="22" t="s">
        <v>51</v>
      </c>
      <c r="L107" s="198" t="s">
        <v>537</v>
      </c>
      <c r="M107" s="22" t="s">
        <v>49</v>
      </c>
      <c r="N107" s="19">
        <f>IF((VLOOKUP(I107,'8Příloha_2_ceník_pravid_úklid'!$B$9:$I$30,8,0))=0,VLOOKUP(I107,'8Příloha_2_ceník_pravid_úklid'!$B$9:$K$30,10,0),VLOOKUP(I107,'8Příloha_2_ceník_pravid_úklid'!$B$9:$I$30,8,0))</f>
        <v>0</v>
      </c>
      <c r="O107" s="20">
        <v>1</v>
      </c>
      <c r="P107" s="20">
        <v>1</v>
      </c>
      <c r="Q107" s="20">
        <v>1</v>
      </c>
      <c r="R107" s="20">
        <v>1</v>
      </c>
      <c r="S107" s="21">
        <f>NETWORKDAYS.INTL(DATE(2018,1,1),DATE(2018,12,31),1,{"2018/1/1";"2018/3/30";"2018/4/2";"2018/5/1";"2018/5/8";"2018/7/5";"2018/7/6";"2018/09/28";"2018/11/17";"2018/12/24";"2018/12/25";"2018/12/26"})</f>
        <v>250</v>
      </c>
      <c r="T107" s="21">
        <f t="shared" si="12"/>
        <v>115</v>
      </c>
      <c r="U107" s="21">
        <f t="shared" si="13"/>
        <v>365</v>
      </c>
      <c r="V107" s="311">
        <f t="shared" si="9"/>
        <v>365</v>
      </c>
      <c r="W107" s="308">
        <f t="shared" si="10"/>
        <v>0</v>
      </c>
      <c r="X107" s="583">
        <f t="shared" si="11"/>
        <v>0</v>
      </c>
      <c r="Y107" s="189">
        <v>0</v>
      </c>
    </row>
    <row r="108" spans="1:25" ht="15" x14ac:dyDescent="0.2">
      <c r="A108" s="138" t="s">
        <v>527</v>
      </c>
      <c r="B108" s="142" t="s">
        <v>611</v>
      </c>
      <c r="C108" s="142" t="s">
        <v>129</v>
      </c>
      <c r="D108" s="506">
        <f>VLOOKUP(C108,'Seznam HS - nemaš'!$A$1:$B$96,2,FALSE)</f>
        <v>401100</v>
      </c>
      <c r="E108" s="243">
        <v>306</v>
      </c>
      <c r="F108" s="244" t="s">
        <v>567</v>
      </c>
      <c r="G108" s="244"/>
      <c r="H108" s="30">
        <f>+IF(ISBLANK(I108),0,VLOOKUP(I108,'8Příloha_2_ceník_pravid_úklid'!$B$9:$C$30,2,0))</f>
        <v>1</v>
      </c>
      <c r="I108" s="143" t="s">
        <v>78</v>
      </c>
      <c r="J108" s="145">
        <v>14.53</v>
      </c>
      <c r="K108" s="22" t="s">
        <v>51</v>
      </c>
      <c r="L108" s="198" t="s">
        <v>537</v>
      </c>
      <c r="M108" s="22" t="s">
        <v>49</v>
      </c>
      <c r="N108" s="19">
        <f>IF((VLOOKUP(I108,'8Příloha_2_ceník_pravid_úklid'!$B$9:$I$30,8,0))=0,VLOOKUP(I108,'8Příloha_2_ceník_pravid_úklid'!$B$9:$K$30,10,0),VLOOKUP(I108,'8Příloha_2_ceník_pravid_úklid'!$B$9:$I$30,8,0))</f>
        <v>0</v>
      </c>
      <c r="O108" s="20">
        <v>1</v>
      </c>
      <c r="P108" s="20">
        <v>1</v>
      </c>
      <c r="Q108" s="20">
        <v>1</v>
      </c>
      <c r="R108" s="20">
        <v>1</v>
      </c>
      <c r="S108" s="21">
        <f>NETWORKDAYS.INTL(DATE(2018,1,1),DATE(2018,12,31),1,{"2018/1/1";"2018/3/30";"2018/4/2";"2018/5/1";"2018/5/8";"2018/7/5";"2018/7/6";"2018/09/28";"2018/11/17";"2018/12/24";"2018/12/25";"2018/12/26"})</f>
        <v>250</v>
      </c>
      <c r="T108" s="21">
        <f t="shared" si="12"/>
        <v>115</v>
      </c>
      <c r="U108" s="21">
        <f t="shared" si="13"/>
        <v>365</v>
      </c>
      <c r="V108" s="311">
        <f t="shared" si="9"/>
        <v>365</v>
      </c>
      <c r="W108" s="308">
        <f t="shared" si="10"/>
        <v>0</v>
      </c>
      <c r="X108" s="583">
        <f t="shared" si="11"/>
        <v>0</v>
      </c>
      <c r="Y108" s="189">
        <v>0</v>
      </c>
    </row>
    <row r="109" spans="1:25" ht="15" x14ac:dyDescent="0.2">
      <c r="A109" s="138" t="s">
        <v>527</v>
      </c>
      <c r="B109" s="142" t="s">
        <v>611</v>
      </c>
      <c r="C109" s="142" t="s">
        <v>129</v>
      </c>
      <c r="D109" s="506">
        <f>VLOOKUP(C109,'Seznam HS - nemaš'!$A$1:$B$96,2,FALSE)</f>
        <v>401100</v>
      </c>
      <c r="E109" s="243">
        <v>307</v>
      </c>
      <c r="F109" s="244" t="s">
        <v>567</v>
      </c>
      <c r="G109" s="244" t="s">
        <v>1705</v>
      </c>
      <c r="H109" s="30">
        <f>+IF(ISBLANK(I109),0,VLOOKUP(I109,'8Příloha_2_ceník_pravid_úklid'!$B$9:$C$30,2,0))</f>
        <v>1</v>
      </c>
      <c r="I109" s="143" t="s">
        <v>78</v>
      </c>
      <c r="J109" s="145">
        <v>10.4</v>
      </c>
      <c r="K109" s="22" t="s">
        <v>51</v>
      </c>
      <c r="L109" s="198" t="s">
        <v>537</v>
      </c>
      <c r="M109" s="22" t="s">
        <v>49</v>
      </c>
      <c r="N109" s="19">
        <f>IF((VLOOKUP(I109,'8Příloha_2_ceník_pravid_úklid'!$B$9:$I$30,8,0))=0,VLOOKUP(I109,'8Příloha_2_ceník_pravid_úklid'!$B$9:$K$30,10,0),VLOOKUP(I109,'8Příloha_2_ceník_pravid_úklid'!$B$9:$I$30,8,0))</f>
        <v>0</v>
      </c>
      <c r="O109" s="20">
        <v>1</v>
      </c>
      <c r="P109" s="20">
        <v>1</v>
      </c>
      <c r="Q109" s="20">
        <v>1</v>
      </c>
      <c r="R109" s="20">
        <v>1</v>
      </c>
      <c r="S109" s="21">
        <f>NETWORKDAYS.INTL(DATE(2018,1,1),DATE(2018,12,31),1,{"2018/1/1";"2018/3/30";"2018/4/2";"2018/5/1";"2018/5/8";"2018/7/5";"2018/7/6";"2018/09/28";"2018/11/17";"2018/12/24";"2018/12/25";"2018/12/26"})</f>
        <v>250</v>
      </c>
      <c r="T109" s="21">
        <f t="shared" si="12"/>
        <v>115</v>
      </c>
      <c r="U109" s="21">
        <f t="shared" si="13"/>
        <v>365</v>
      </c>
      <c r="V109" s="311">
        <f t="shared" si="9"/>
        <v>365</v>
      </c>
      <c r="W109" s="308">
        <f t="shared" si="10"/>
        <v>0</v>
      </c>
      <c r="X109" s="583">
        <f t="shared" si="11"/>
        <v>0</v>
      </c>
      <c r="Y109" s="189">
        <v>0</v>
      </c>
    </row>
    <row r="110" spans="1:25" ht="15" x14ac:dyDescent="0.2">
      <c r="A110" s="138" t="s">
        <v>527</v>
      </c>
      <c r="B110" s="142" t="s">
        <v>611</v>
      </c>
      <c r="C110" s="142" t="s">
        <v>129</v>
      </c>
      <c r="D110" s="506">
        <f>VLOOKUP(C110,'Seznam HS - nemaš'!$A$1:$B$96,2,FALSE)</f>
        <v>401100</v>
      </c>
      <c r="E110" s="243" t="s">
        <v>1734</v>
      </c>
      <c r="F110" s="154" t="s">
        <v>585</v>
      </c>
      <c r="G110" s="244" t="s">
        <v>1706</v>
      </c>
      <c r="H110" s="30">
        <f>+IF(ISBLANK(I110),0,VLOOKUP(I110,'8Příloha_2_ceník_pravid_úklid'!$B$9:$C$30,2,0))</f>
        <v>7</v>
      </c>
      <c r="I110" s="143" t="s">
        <v>14</v>
      </c>
      <c r="J110" s="145">
        <v>3.09</v>
      </c>
      <c r="K110" s="22" t="s">
        <v>51</v>
      </c>
      <c r="L110" s="198" t="s">
        <v>537</v>
      </c>
      <c r="M110" s="22" t="s">
        <v>49</v>
      </c>
      <c r="N110" s="19">
        <f>IF((VLOOKUP(I110,'8Příloha_2_ceník_pravid_úklid'!$B$9:$I$30,8,0))=0,VLOOKUP(I110,'8Příloha_2_ceník_pravid_úklid'!$B$9:$K$30,10,0),VLOOKUP(I110,'8Příloha_2_ceník_pravid_úklid'!$B$9:$I$30,8,0))</f>
        <v>0</v>
      </c>
      <c r="O110" s="20">
        <v>1</v>
      </c>
      <c r="P110" s="20">
        <v>1</v>
      </c>
      <c r="Q110" s="20">
        <v>1</v>
      </c>
      <c r="R110" s="20">
        <v>1</v>
      </c>
      <c r="S110" s="21">
        <f>NETWORKDAYS.INTL(DATE(2018,1,1),DATE(2018,12,31),1,{"2018/1/1";"2018/3/30";"2018/4/2";"2018/5/1";"2018/5/8";"2018/7/5";"2018/7/6";"2018/09/28";"2018/11/17";"2018/12/24";"2018/12/25";"2018/12/26"})</f>
        <v>250</v>
      </c>
      <c r="T110" s="21">
        <f t="shared" si="12"/>
        <v>115</v>
      </c>
      <c r="U110" s="21">
        <f t="shared" si="13"/>
        <v>365</v>
      </c>
      <c r="V110" s="311">
        <f t="shared" si="9"/>
        <v>365</v>
      </c>
      <c r="W110" s="308">
        <f t="shared" si="10"/>
        <v>0</v>
      </c>
      <c r="X110" s="583">
        <f t="shared" si="11"/>
        <v>0</v>
      </c>
      <c r="Y110" s="189">
        <v>0</v>
      </c>
    </row>
    <row r="111" spans="1:25" ht="15" x14ac:dyDescent="0.2">
      <c r="A111" s="138" t="s">
        <v>527</v>
      </c>
      <c r="B111" s="142" t="s">
        <v>611</v>
      </c>
      <c r="C111" s="142" t="s">
        <v>129</v>
      </c>
      <c r="D111" s="506">
        <f>VLOOKUP(C111,'Seznam HS - nemaš'!$A$1:$B$96,2,FALSE)</f>
        <v>401100</v>
      </c>
      <c r="E111" s="243">
        <v>308</v>
      </c>
      <c r="F111" s="244" t="s">
        <v>612</v>
      </c>
      <c r="G111" s="244"/>
      <c r="H111" s="30">
        <f>+IF(ISBLANK(I111),0,VLOOKUP(I111,'8Příloha_2_ceník_pravid_úklid'!$B$9:$C$30,2,0))</f>
        <v>2</v>
      </c>
      <c r="I111" s="143" t="s">
        <v>2</v>
      </c>
      <c r="J111" s="145">
        <f>2.47*4.48</f>
        <v>11.065600000000002</v>
      </c>
      <c r="K111" s="22" t="s">
        <v>51</v>
      </c>
      <c r="L111" s="198" t="s">
        <v>537</v>
      </c>
      <c r="M111" s="22" t="s">
        <v>49</v>
      </c>
      <c r="N111" s="19">
        <f>IF((VLOOKUP(I111,'8Příloha_2_ceník_pravid_úklid'!$B$9:$I$30,8,0))=0,VLOOKUP(I111,'8Příloha_2_ceník_pravid_úklid'!$B$9:$K$30,10,0),VLOOKUP(I111,'8Příloha_2_ceník_pravid_úklid'!$B$9:$I$30,8,0))</f>
        <v>0</v>
      </c>
      <c r="O111" s="20">
        <v>1</v>
      </c>
      <c r="P111" s="20">
        <v>1</v>
      </c>
      <c r="Q111" s="20">
        <v>1</v>
      </c>
      <c r="R111" s="20">
        <v>1</v>
      </c>
      <c r="S111" s="21">
        <f>NETWORKDAYS.INTL(DATE(2018,1,1),DATE(2018,12,31),1,{"2018/1/1";"2018/3/30";"2018/4/2";"2018/5/1";"2018/5/8";"2018/7/5";"2018/7/6";"2018/09/28";"2018/11/17";"2018/12/24";"2018/12/25";"2018/12/26"})</f>
        <v>250</v>
      </c>
      <c r="T111" s="21">
        <f t="shared" si="12"/>
        <v>115</v>
      </c>
      <c r="U111" s="21">
        <f t="shared" si="13"/>
        <v>365</v>
      </c>
      <c r="V111" s="311">
        <f t="shared" si="9"/>
        <v>365</v>
      </c>
      <c r="W111" s="308">
        <f t="shared" si="10"/>
        <v>0</v>
      </c>
      <c r="X111" s="583">
        <f t="shared" si="11"/>
        <v>0</v>
      </c>
      <c r="Y111" s="189">
        <v>0</v>
      </c>
    </row>
    <row r="112" spans="1:25" ht="15" x14ac:dyDescent="0.2">
      <c r="A112" s="138" t="s">
        <v>527</v>
      </c>
      <c r="B112" s="142" t="s">
        <v>611</v>
      </c>
      <c r="C112" s="142" t="s">
        <v>129</v>
      </c>
      <c r="D112" s="506">
        <f>VLOOKUP(C112,'Seznam HS - nemaš'!$A$1:$B$96,2,FALSE)</f>
        <v>401100</v>
      </c>
      <c r="E112" s="243">
        <v>309</v>
      </c>
      <c r="F112" s="244" t="s">
        <v>389</v>
      </c>
      <c r="G112" s="244"/>
      <c r="H112" s="30">
        <f>+IF(ISBLANK(I112),0,VLOOKUP(I112,'8Příloha_2_ceník_pravid_úklid'!$B$9:$C$30,2,0))</f>
        <v>17</v>
      </c>
      <c r="I112" s="143" t="s">
        <v>13</v>
      </c>
      <c r="J112" s="145">
        <f>2.8*4.48</f>
        <v>12.544</v>
      </c>
      <c r="K112" s="22" t="s">
        <v>51</v>
      </c>
      <c r="L112" s="198" t="s">
        <v>1704</v>
      </c>
      <c r="M112" s="22" t="s">
        <v>49</v>
      </c>
      <c r="N112" s="19">
        <f>IF((VLOOKUP(I112,'8Příloha_2_ceník_pravid_úklid'!$B$9:$I$30,8,0))=0,VLOOKUP(I112,'8Příloha_2_ceník_pravid_úklid'!$B$9:$K$30,10,0),VLOOKUP(I112,'8Příloha_2_ceník_pravid_úklid'!$B$9:$I$30,8,0))</f>
        <v>0</v>
      </c>
      <c r="O112" s="20">
        <v>1</v>
      </c>
      <c r="P112" s="20">
        <v>1</v>
      </c>
      <c r="Q112" s="20">
        <v>0</v>
      </c>
      <c r="R112" s="20">
        <v>0</v>
      </c>
      <c r="S112" s="21">
        <f>NETWORKDAYS.INTL(DATE(2018,1,1),DATE(2018,12,31),1,{"2018/1/1";"2018/3/30";"2018/4/2";"2018/5/1";"2018/5/8";"2018/7/5";"2018/7/6";"2018/09/28";"2018/11/17";"2018/12/24";"2018/12/25";"2018/12/26"})</f>
        <v>250</v>
      </c>
      <c r="T112" s="21">
        <f t="shared" si="12"/>
        <v>115</v>
      </c>
      <c r="U112" s="21">
        <f t="shared" si="13"/>
        <v>365</v>
      </c>
      <c r="V112" s="311">
        <f t="shared" si="9"/>
        <v>250</v>
      </c>
      <c r="W112" s="308">
        <f t="shared" si="10"/>
        <v>0</v>
      </c>
      <c r="X112" s="583">
        <f t="shared" si="11"/>
        <v>0</v>
      </c>
      <c r="Y112" s="189">
        <v>0</v>
      </c>
    </row>
    <row r="113" spans="1:25" ht="15" x14ac:dyDescent="0.2">
      <c r="A113" s="138" t="s">
        <v>527</v>
      </c>
      <c r="B113" s="142" t="s">
        <v>611</v>
      </c>
      <c r="C113" s="142" t="s">
        <v>129</v>
      </c>
      <c r="D113" s="506">
        <f>VLOOKUP(C113,'Seznam HS - nemaš'!$A$1:$B$96,2,FALSE)</f>
        <v>401100</v>
      </c>
      <c r="E113" s="243">
        <v>310</v>
      </c>
      <c r="F113" s="244" t="s">
        <v>586</v>
      </c>
      <c r="G113" s="244"/>
      <c r="H113" s="30">
        <f>+IF(ISBLANK(I113),0,VLOOKUP(I113,'8Příloha_2_ceník_pravid_úklid'!$B$9:$C$30,2,0))</f>
        <v>18</v>
      </c>
      <c r="I113" s="143" t="s">
        <v>16</v>
      </c>
      <c r="J113" s="145">
        <v>8.6</v>
      </c>
      <c r="K113" s="22" t="s">
        <v>50</v>
      </c>
      <c r="L113" s="198" t="s">
        <v>587</v>
      </c>
      <c r="M113" s="22" t="s">
        <v>49</v>
      </c>
      <c r="N113" s="19">
        <f>IF((VLOOKUP(I113,'8Příloha_2_ceník_pravid_úklid'!$B$9:$I$30,8,0))=0,VLOOKUP(I113,'8Příloha_2_ceník_pravid_úklid'!$B$9:$K$30,10,0),VLOOKUP(I113,'8Příloha_2_ceník_pravid_úklid'!$B$9:$I$30,8,0))</f>
        <v>0</v>
      </c>
      <c r="O113" s="20">
        <v>1</v>
      </c>
      <c r="P113" s="318">
        <f>1/21</f>
        <v>4.7619047619047616E-2</v>
      </c>
      <c r="Q113" s="20">
        <v>0</v>
      </c>
      <c r="R113" s="20">
        <v>0</v>
      </c>
      <c r="S113" s="21">
        <f>NETWORKDAYS.INTL(DATE(2018,1,1),DATE(2018,12,31),1,{"2018/1/1";"2018/3/30";"2018/4/2";"2018/5/1";"2018/5/8";"2018/7/5";"2018/7/6";"2018/09/28";"2018/11/17";"2018/12/24";"2018/12/25";"2018/12/26"})</f>
        <v>250</v>
      </c>
      <c r="T113" s="21">
        <f t="shared" si="12"/>
        <v>115</v>
      </c>
      <c r="U113" s="21">
        <f t="shared" si="13"/>
        <v>365</v>
      </c>
      <c r="V113" s="311">
        <f t="shared" si="9"/>
        <v>11.9</v>
      </c>
      <c r="W113" s="308">
        <f t="shared" si="10"/>
        <v>0</v>
      </c>
      <c r="X113" s="583">
        <f t="shared" si="11"/>
        <v>0</v>
      </c>
      <c r="Y113" s="189">
        <v>0</v>
      </c>
    </row>
    <row r="114" spans="1:25" ht="15" x14ac:dyDescent="0.2">
      <c r="A114" s="138" t="s">
        <v>527</v>
      </c>
      <c r="B114" s="142" t="s">
        <v>611</v>
      </c>
      <c r="C114" s="142" t="s">
        <v>129</v>
      </c>
      <c r="D114" s="506">
        <f>VLOOKUP(C114,'Seznam HS - nemaš'!$A$1:$B$96,2,FALSE)</f>
        <v>401100</v>
      </c>
      <c r="E114" s="243">
        <v>311</v>
      </c>
      <c r="F114" s="244" t="s">
        <v>437</v>
      </c>
      <c r="G114" s="244" t="s">
        <v>613</v>
      </c>
      <c r="H114" s="30">
        <f>+IF(ISBLANK(I114),0,VLOOKUP(I114,'8Příloha_2_ceník_pravid_úklid'!$B$9:$C$30,2,0))</f>
        <v>7</v>
      </c>
      <c r="I114" s="143" t="s">
        <v>14</v>
      </c>
      <c r="J114" s="145">
        <v>2.17</v>
      </c>
      <c r="K114" s="22" t="s">
        <v>51</v>
      </c>
      <c r="L114" s="198" t="s">
        <v>647</v>
      </c>
      <c r="M114" s="22" t="s">
        <v>49</v>
      </c>
      <c r="N114" s="19">
        <f>IF((VLOOKUP(I114,'8Příloha_2_ceník_pravid_úklid'!$B$9:$I$30,8,0))=0,VLOOKUP(I114,'8Příloha_2_ceník_pravid_úklid'!$B$9:$K$30,10,0),VLOOKUP(I114,'8Příloha_2_ceník_pravid_úklid'!$B$9:$I$30,8,0))</f>
        <v>0</v>
      </c>
      <c r="O114" s="20">
        <v>1</v>
      </c>
      <c r="P114" s="20">
        <v>1</v>
      </c>
      <c r="Q114" s="20">
        <v>1</v>
      </c>
      <c r="R114" s="20">
        <v>1</v>
      </c>
      <c r="S114" s="21">
        <f>NETWORKDAYS.INTL(DATE(2018,1,1),DATE(2018,12,31),1,{"2018/1/1";"2018/3/30";"2018/4/2";"2018/5/1";"2018/5/8";"2018/7/5";"2018/7/6";"2018/09/28";"2018/11/17";"2018/12/24";"2018/12/25";"2018/12/26"})</f>
        <v>250</v>
      </c>
      <c r="T114" s="21">
        <f t="shared" si="12"/>
        <v>115</v>
      </c>
      <c r="U114" s="21">
        <f t="shared" si="13"/>
        <v>365</v>
      </c>
      <c r="V114" s="311">
        <f t="shared" si="9"/>
        <v>365</v>
      </c>
      <c r="W114" s="308">
        <f t="shared" si="10"/>
        <v>0</v>
      </c>
      <c r="X114" s="583">
        <f t="shared" si="11"/>
        <v>0</v>
      </c>
      <c r="Y114" s="189">
        <v>0</v>
      </c>
    </row>
    <row r="115" spans="1:25" ht="15" x14ac:dyDescent="0.2">
      <c r="A115" s="138" t="s">
        <v>527</v>
      </c>
      <c r="B115" s="142" t="s">
        <v>611</v>
      </c>
      <c r="C115" s="142" t="s">
        <v>129</v>
      </c>
      <c r="D115" s="506">
        <f>VLOOKUP(C115,'Seznam HS - nemaš'!$A$1:$B$96,2,FALSE)</f>
        <v>401100</v>
      </c>
      <c r="E115" s="243">
        <v>312</v>
      </c>
      <c r="F115" s="244" t="s">
        <v>561</v>
      </c>
      <c r="G115" s="244" t="s">
        <v>539</v>
      </c>
      <c r="H115" s="30">
        <f>+IF(ISBLANK(I115),0,VLOOKUP(I115,'8Příloha_2_ceník_pravid_úklid'!$B$9:$C$30,2,0))</f>
        <v>7</v>
      </c>
      <c r="I115" s="143" t="s">
        <v>14</v>
      </c>
      <c r="J115" s="145">
        <v>10.44</v>
      </c>
      <c r="K115" s="22" t="s">
        <v>50</v>
      </c>
      <c r="L115" s="198" t="s">
        <v>559</v>
      </c>
      <c r="M115" s="22" t="s">
        <v>49</v>
      </c>
      <c r="N115" s="19">
        <f>IF((VLOOKUP(I115,'8Příloha_2_ceník_pravid_úklid'!$B$9:$I$30,8,0))=0,VLOOKUP(I115,'8Příloha_2_ceník_pravid_úklid'!$B$9:$K$30,10,0),VLOOKUP(I115,'8Příloha_2_ceník_pravid_úklid'!$B$9:$I$30,8,0))</f>
        <v>0</v>
      </c>
      <c r="O115" s="20">
        <v>3</v>
      </c>
      <c r="P115" s="20">
        <v>1</v>
      </c>
      <c r="Q115" s="20">
        <v>3</v>
      </c>
      <c r="R115" s="20">
        <v>1</v>
      </c>
      <c r="S115" s="21">
        <f>NETWORKDAYS.INTL(DATE(2018,1,1),DATE(2018,12,31),1,{"2018/1/1";"2018/3/30";"2018/4/2";"2018/5/1";"2018/5/8";"2018/7/5";"2018/7/6";"2018/09/28";"2018/11/17";"2018/12/24";"2018/12/25";"2018/12/26"})</f>
        <v>250</v>
      </c>
      <c r="T115" s="21">
        <f t="shared" si="12"/>
        <v>115</v>
      </c>
      <c r="U115" s="21">
        <f t="shared" si="13"/>
        <v>365</v>
      </c>
      <c r="V115" s="311">
        <f t="shared" si="9"/>
        <v>1095</v>
      </c>
      <c r="W115" s="308">
        <f t="shared" si="10"/>
        <v>0</v>
      </c>
      <c r="X115" s="583">
        <f t="shared" si="11"/>
        <v>0</v>
      </c>
      <c r="Y115" s="189">
        <v>0</v>
      </c>
    </row>
    <row r="116" spans="1:25" ht="15" x14ac:dyDescent="0.2">
      <c r="A116" s="138" t="s">
        <v>527</v>
      </c>
      <c r="B116" s="142" t="s">
        <v>611</v>
      </c>
      <c r="C116" s="142" t="s">
        <v>129</v>
      </c>
      <c r="D116" s="506">
        <f>VLOOKUP(C116,'Seznam HS - nemaš'!$A$1:$B$96,2,FALSE)</f>
        <v>401100</v>
      </c>
      <c r="E116" s="243">
        <v>313</v>
      </c>
      <c r="F116" s="244" t="s">
        <v>567</v>
      </c>
      <c r="G116" s="244"/>
      <c r="H116" s="30">
        <f>+IF(ISBLANK(I116),0,VLOOKUP(I116,'8Příloha_2_ceník_pravid_úklid'!$B$9:$C$30,2,0))</f>
        <v>1</v>
      </c>
      <c r="I116" s="143" t="s">
        <v>78</v>
      </c>
      <c r="J116" s="145">
        <v>22.86</v>
      </c>
      <c r="K116" s="22" t="s">
        <v>51</v>
      </c>
      <c r="L116" s="198" t="s">
        <v>537</v>
      </c>
      <c r="M116" s="22" t="s">
        <v>49</v>
      </c>
      <c r="N116" s="19">
        <f>IF((VLOOKUP(I116,'8Příloha_2_ceník_pravid_úklid'!$B$9:$I$30,8,0))=0,VLOOKUP(I116,'8Příloha_2_ceník_pravid_úklid'!$B$9:$K$30,10,0),VLOOKUP(I116,'8Příloha_2_ceník_pravid_úklid'!$B$9:$I$30,8,0))</f>
        <v>0</v>
      </c>
      <c r="O116" s="20">
        <v>1</v>
      </c>
      <c r="P116" s="20">
        <v>1</v>
      </c>
      <c r="Q116" s="20">
        <v>1</v>
      </c>
      <c r="R116" s="20">
        <v>1</v>
      </c>
      <c r="S116" s="21">
        <f>NETWORKDAYS.INTL(DATE(2018,1,1),DATE(2018,12,31),1,{"2018/1/1";"2018/3/30";"2018/4/2";"2018/5/1";"2018/5/8";"2018/7/5";"2018/7/6";"2018/09/28";"2018/11/17";"2018/12/24";"2018/12/25";"2018/12/26"})</f>
        <v>250</v>
      </c>
      <c r="T116" s="21">
        <f t="shared" si="12"/>
        <v>115</v>
      </c>
      <c r="U116" s="21">
        <f t="shared" si="13"/>
        <v>365</v>
      </c>
      <c r="V116" s="311">
        <f t="shared" si="9"/>
        <v>365</v>
      </c>
      <c r="W116" s="308">
        <f t="shared" si="10"/>
        <v>0</v>
      </c>
      <c r="X116" s="583">
        <f t="shared" si="11"/>
        <v>0</v>
      </c>
      <c r="Y116" s="189">
        <v>0</v>
      </c>
    </row>
    <row r="117" spans="1:25" ht="15" x14ac:dyDescent="0.2">
      <c r="A117" s="235" t="s">
        <v>527</v>
      </c>
      <c r="B117" s="236" t="s">
        <v>611</v>
      </c>
      <c r="C117" s="236" t="s">
        <v>129</v>
      </c>
      <c r="D117" s="564">
        <f>VLOOKUP(C117,'Seznam HS - nemaš'!$A$1:$B$96,2,FALSE)</f>
        <v>401100</v>
      </c>
      <c r="E117" s="237">
        <v>314</v>
      </c>
      <c r="F117" s="238" t="s">
        <v>554</v>
      </c>
      <c r="G117" s="238"/>
      <c r="H117" s="303">
        <f>+IF(ISBLANK(I117),0,VLOOKUP(I117,'8Příloha_2_ceník_pravid_úklid'!$B$9:$C$30,2,0))</f>
        <v>7</v>
      </c>
      <c r="I117" s="273" t="s">
        <v>14</v>
      </c>
      <c r="J117" s="241"/>
      <c r="K117" s="237"/>
      <c r="L117" s="310" t="s">
        <v>66</v>
      </c>
      <c r="M117" s="237" t="s">
        <v>49</v>
      </c>
      <c r="N117" s="229" t="s">
        <v>501</v>
      </c>
      <c r="O117" s="230">
        <v>0</v>
      </c>
      <c r="P117" s="230">
        <v>0</v>
      </c>
      <c r="Q117" s="230">
        <v>0</v>
      </c>
      <c r="R117" s="230">
        <v>0</v>
      </c>
      <c r="S117" s="231">
        <f>NETWORKDAYS.INTL(DATE(2018,1,1),DATE(2018,12,31),1,{"2018/1/1";"2018/3/30";"2018/4/2";"2018/5/1";"2018/5/8";"2018/7/5";"2018/7/6";"2018/09/28";"2018/11/17";"2018/12/24";"2018/12/25";"2018/12/26"})</f>
        <v>250</v>
      </c>
      <c r="T117" s="231">
        <f t="shared" si="12"/>
        <v>115</v>
      </c>
      <c r="U117" s="231">
        <f t="shared" si="13"/>
        <v>365</v>
      </c>
      <c r="V117" s="312">
        <f t="shared" si="9"/>
        <v>0</v>
      </c>
      <c r="W117" s="309">
        <f t="shared" si="10"/>
        <v>0</v>
      </c>
      <c r="X117" s="584">
        <f t="shared" si="11"/>
        <v>0</v>
      </c>
      <c r="Y117" s="584">
        <f t="shared" si="11"/>
        <v>0</v>
      </c>
    </row>
    <row r="118" spans="1:25" ht="15" x14ac:dyDescent="0.2">
      <c r="A118" s="138" t="s">
        <v>527</v>
      </c>
      <c r="B118" s="142" t="s">
        <v>611</v>
      </c>
      <c r="C118" s="142" t="s">
        <v>129</v>
      </c>
      <c r="D118" s="506">
        <f>VLOOKUP(C118,'Seznam HS - nemaš'!$A$1:$B$96,2,FALSE)</f>
        <v>401100</v>
      </c>
      <c r="E118" s="243">
        <v>315</v>
      </c>
      <c r="F118" s="244" t="s">
        <v>552</v>
      </c>
      <c r="G118" s="244"/>
      <c r="H118" s="30">
        <f>+IF(ISBLANK(I118),0,VLOOKUP(I118,'8Příloha_2_ceník_pravid_úklid'!$B$9:$C$30,2,0))</f>
        <v>16</v>
      </c>
      <c r="I118" s="143" t="s">
        <v>6</v>
      </c>
      <c r="J118" s="145">
        <v>9.9</v>
      </c>
      <c r="K118" s="22" t="s">
        <v>51</v>
      </c>
      <c r="L118" s="294" t="s">
        <v>22</v>
      </c>
      <c r="M118" s="22" t="s">
        <v>49</v>
      </c>
      <c r="N118" s="19">
        <f>IF((VLOOKUP(I118,'8Příloha_2_ceník_pravid_úklid'!$B$9:$I$30,8,0))=0,VLOOKUP(I118,'8Příloha_2_ceník_pravid_úklid'!$B$9:$K$30,10,0),VLOOKUP(I118,'8Příloha_2_ceník_pravid_úklid'!$B$9:$I$30,8,0))</f>
        <v>0</v>
      </c>
      <c r="O118" s="20">
        <v>2</v>
      </c>
      <c r="P118" s="20">
        <v>1</v>
      </c>
      <c r="Q118" s="20">
        <v>2</v>
      </c>
      <c r="R118" s="20">
        <v>1</v>
      </c>
      <c r="S118" s="21">
        <f>NETWORKDAYS.INTL(DATE(2018,1,1),DATE(2018,12,31),1,{"2018/1/1";"2018/3/30";"2018/4/2";"2018/5/1";"2018/5/8";"2018/7/5";"2018/7/6";"2018/09/28";"2018/11/17";"2018/12/24";"2018/12/25";"2018/12/26"})</f>
        <v>250</v>
      </c>
      <c r="T118" s="21">
        <f t="shared" si="12"/>
        <v>115</v>
      </c>
      <c r="U118" s="21">
        <f t="shared" si="13"/>
        <v>365</v>
      </c>
      <c r="V118" s="311">
        <f t="shared" si="9"/>
        <v>730</v>
      </c>
      <c r="W118" s="308">
        <f t="shared" si="10"/>
        <v>0</v>
      </c>
      <c r="X118" s="583">
        <f t="shared" si="11"/>
        <v>0</v>
      </c>
      <c r="Y118" s="189">
        <v>0</v>
      </c>
    </row>
    <row r="119" spans="1:25" ht="15" x14ac:dyDescent="0.2">
      <c r="A119" s="138" t="s">
        <v>527</v>
      </c>
      <c r="B119" s="142" t="s">
        <v>611</v>
      </c>
      <c r="C119" s="142" t="s">
        <v>129</v>
      </c>
      <c r="D119" s="506">
        <f>VLOOKUP(C119,'Seznam HS - nemaš'!$A$1:$B$96,2,FALSE)</f>
        <v>401100</v>
      </c>
      <c r="E119" s="243">
        <v>316</v>
      </c>
      <c r="F119" s="244" t="s">
        <v>437</v>
      </c>
      <c r="G119" s="244" t="s">
        <v>442</v>
      </c>
      <c r="H119" s="30">
        <f>+IF(ISBLANK(I119),0,VLOOKUP(I119,'8Příloha_2_ceník_pravid_úklid'!$B$9:$C$30,2,0))</f>
        <v>7</v>
      </c>
      <c r="I119" s="143" t="s">
        <v>14</v>
      </c>
      <c r="J119" s="145">
        <v>1.06</v>
      </c>
      <c r="K119" s="22" t="s">
        <v>51</v>
      </c>
      <c r="L119" s="198" t="s">
        <v>647</v>
      </c>
      <c r="M119" s="22" t="s">
        <v>49</v>
      </c>
      <c r="N119" s="19">
        <f>IF((VLOOKUP(I119,'8Příloha_2_ceník_pravid_úklid'!$B$9:$I$30,8,0))=0,VLOOKUP(I119,'8Příloha_2_ceník_pravid_úklid'!$B$9:$K$30,10,0),VLOOKUP(I119,'8Příloha_2_ceník_pravid_úklid'!$B$9:$I$30,8,0))</f>
        <v>0</v>
      </c>
      <c r="O119" s="20">
        <v>1</v>
      </c>
      <c r="P119" s="20">
        <v>1</v>
      </c>
      <c r="Q119" s="20">
        <v>1</v>
      </c>
      <c r="R119" s="20">
        <v>1</v>
      </c>
      <c r="S119" s="21">
        <f>NETWORKDAYS.INTL(DATE(2018,1,1),DATE(2018,12,31),1,{"2018/1/1";"2018/3/30";"2018/4/2";"2018/5/1";"2018/5/8";"2018/7/5";"2018/7/6";"2018/09/28";"2018/11/17";"2018/12/24";"2018/12/25";"2018/12/26"})</f>
        <v>250</v>
      </c>
      <c r="T119" s="21">
        <f t="shared" si="12"/>
        <v>115</v>
      </c>
      <c r="U119" s="21">
        <f t="shared" si="13"/>
        <v>365</v>
      </c>
      <c r="V119" s="311">
        <f t="shared" si="9"/>
        <v>365</v>
      </c>
      <c r="W119" s="308">
        <f t="shared" si="10"/>
        <v>0</v>
      </c>
      <c r="X119" s="583">
        <f t="shared" si="11"/>
        <v>0</v>
      </c>
      <c r="Y119" s="189">
        <v>0</v>
      </c>
    </row>
    <row r="120" spans="1:25" ht="15" x14ac:dyDescent="0.2">
      <c r="A120" s="138" t="s">
        <v>527</v>
      </c>
      <c r="B120" s="142" t="s">
        <v>611</v>
      </c>
      <c r="C120" s="142" t="s">
        <v>129</v>
      </c>
      <c r="D120" s="506">
        <f>VLOOKUP(C120,'Seznam HS - nemaš'!$A$1:$B$96,2,FALSE)</f>
        <v>401100</v>
      </c>
      <c r="E120" s="243">
        <v>317</v>
      </c>
      <c r="F120" s="244" t="s">
        <v>389</v>
      </c>
      <c r="G120" s="244" t="s">
        <v>560</v>
      </c>
      <c r="H120" s="30">
        <f>+IF(ISBLANK(I120),0,VLOOKUP(I120,'8Příloha_2_ceník_pravid_úklid'!$B$9:$C$30,2,0))</f>
        <v>17</v>
      </c>
      <c r="I120" s="143" t="s">
        <v>13</v>
      </c>
      <c r="J120" s="145">
        <v>0.56999999999999995</v>
      </c>
      <c r="K120" s="22" t="s">
        <v>51</v>
      </c>
      <c r="L120" s="198" t="s">
        <v>559</v>
      </c>
      <c r="M120" s="22" t="s">
        <v>49</v>
      </c>
      <c r="N120" s="19">
        <f>IF((VLOOKUP(I120,'8Příloha_2_ceník_pravid_úklid'!$B$9:$I$30,8,0))=0,VLOOKUP(I120,'8Příloha_2_ceník_pravid_úklid'!$B$9:$K$30,10,0),VLOOKUP(I120,'8Příloha_2_ceník_pravid_úklid'!$B$9:$I$30,8,0))</f>
        <v>0</v>
      </c>
      <c r="O120" s="20">
        <v>3</v>
      </c>
      <c r="P120" s="20">
        <v>1</v>
      </c>
      <c r="Q120" s="20">
        <v>3</v>
      </c>
      <c r="R120" s="20">
        <v>1</v>
      </c>
      <c r="S120" s="21">
        <f>NETWORKDAYS.INTL(DATE(2018,1,1),DATE(2018,12,31),1,{"2018/1/1";"2018/3/30";"2018/4/2";"2018/5/1";"2018/5/8";"2018/7/5";"2018/7/6";"2018/09/28";"2018/11/17";"2018/12/24";"2018/12/25";"2018/12/26"})</f>
        <v>250</v>
      </c>
      <c r="T120" s="21">
        <f t="shared" si="12"/>
        <v>115</v>
      </c>
      <c r="U120" s="21">
        <f t="shared" si="13"/>
        <v>365</v>
      </c>
      <c r="V120" s="504">
        <f t="shared" si="9"/>
        <v>1095</v>
      </c>
      <c r="W120" s="308">
        <f t="shared" si="10"/>
        <v>0</v>
      </c>
      <c r="X120" s="583">
        <f t="shared" si="11"/>
        <v>0</v>
      </c>
      <c r="Y120" s="189">
        <v>0</v>
      </c>
    </row>
    <row r="121" spans="1:25" ht="16.5" customHeight="1" x14ac:dyDescent="0.2">
      <c r="A121" s="138" t="s">
        <v>527</v>
      </c>
      <c r="B121" s="142" t="s">
        <v>611</v>
      </c>
      <c r="C121" s="142" t="s">
        <v>129</v>
      </c>
      <c r="D121" s="506">
        <f>VLOOKUP(C121,'Seznam HS - nemaš'!$A$1:$B$96,2,FALSE)</f>
        <v>401100</v>
      </c>
      <c r="E121" s="243">
        <v>318</v>
      </c>
      <c r="F121" s="244" t="s">
        <v>507</v>
      </c>
      <c r="G121" s="244"/>
      <c r="H121" s="30">
        <f>+IF(ISBLANK(I121),0,VLOOKUP(I121,'8Příloha_2_ceník_pravid_úklid'!$B$9:$C$30,2,0))</f>
        <v>11</v>
      </c>
      <c r="I121" s="143" t="s">
        <v>7</v>
      </c>
      <c r="J121" s="145">
        <f>1.6*2.3</f>
        <v>3.6799999999999997</v>
      </c>
      <c r="K121" s="22" t="s">
        <v>51</v>
      </c>
      <c r="L121" s="198" t="s">
        <v>537</v>
      </c>
      <c r="M121" s="22" t="s">
        <v>49</v>
      </c>
      <c r="N121" s="19">
        <f>IF((VLOOKUP(I121,'8Příloha_2_ceník_pravid_úklid'!$B$9:$I$30,8,0))=0,VLOOKUP(I121,'8Příloha_2_ceník_pravid_úklid'!$B$9:$K$30,10,0),VLOOKUP(I121,'8Příloha_2_ceník_pravid_úklid'!$B$9:$I$30,8,0))</f>
        <v>0</v>
      </c>
      <c r="O121" s="20">
        <v>1</v>
      </c>
      <c r="P121" s="20">
        <v>1</v>
      </c>
      <c r="Q121" s="20">
        <v>1</v>
      </c>
      <c r="R121" s="20">
        <v>1</v>
      </c>
      <c r="S121" s="21">
        <f>NETWORKDAYS.INTL(DATE(2018,1,1),DATE(2018,12,31),1,{"2018/1/1";"2018/3/30";"2018/4/2";"2018/5/1";"2018/5/8";"2018/7/5";"2018/7/6";"2018/09/28";"2018/11/17";"2018/12/24";"2018/12/25";"2018/12/26"})</f>
        <v>250</v>
      </c>
      <c r="T121" s="21">
        <f t="shared" si="12"/>
        <v>115</v>
      </c>
      <c r="U121" s="21">
        <f t="shared" si="13"/>
        <v>365</v>
      </c>
      <c r="V121" s="547">
        <f t="shared" si="9"/>
        <v>365</v>
      </c>
      <c r="W121" s="308">
        <f t="shared" si="10"/>
        <v>0</v>
      </c>
      <c r="X121" s="583">
        <f t="shared" si="11"/>
        <v>0</v>
      </c>
      <c r="Y121" s="584">
        <v>0</v>
      </c>
    </row>
    <row r="122" spans="1:25" ht="15" x14ac:dyDescent="0.2">
      <c r="A122" s="138" t="s">
        <v>527</v>
      </c>
      <c r="B122" s="142" t="s">
        <v>611</v>
      </c>
      <c r="C122" s="142" t="s">
        <v>129</v>
      </c>
      <c r="D122" s="506">
        <f>VLOOKUP(C122,'Seznam HS - nemaš'!$A$1:$B$96,2,FALSE)</f>
        <v>401100</v>
      </c>
      <c r="E122" s="243">
        <v>319</v>
      </c>
      <c r="F122" s="244" t="s">
        <v>446</v>
      </c>
      <c r="G122" s="244" t="s">
        <v>563</v>
      </c>
      <c r="H122" s="30">
        <f>+IF(ISBLANK(I122),0,VLOOKUP(I122,'8Příloha_2_ceník_pravid_úklid'!$B$9:$C$30,2,0))</f>
        <v>7</v>
      </c>
      <c r="I122" s="143" t="s">
        <v>14</v>
      </c>
      <c r="J122" s="145">
        <v>3.98</v>
      </c>
      <c r="K122" s="22" t="s">
        <v>50</v>
      </c>
      <c r="L122" s="198" t="s">
        <v>559</v>
      </c>
      <c r="M122" s="22" t="s">
        <v>49</v>
      </c>
      <c r="N122" s="19">
        <f>IF((VLOOKUP(I122,'8Příloha_2_ceník_pravid_úklid'!$B$9:$I$30,8,0))=0,VLOOKUP(I122,'8Příloha_2_ceník_pravid_úklid'!$B$9:$K$30,10,0),VLOOKUP(I122,'8Příloha_2_ceník_pravid_úklid'!$B$9:$I$30,8,0))</f>
        <v>0</v>
      </c>
      <c r="O122" s="20">
        <v>3</v>
      </c>
      <c r="P122" s="20">
        <v>1</v>
      </c>
      <c r="Q122" s="20">
        <v>3</v>
      </c>
      <c r="R122" s="20">
        <v>1</v>
      </c>
      <c r="S122" s="21">
        <f>NETWORKDAYS.INTL(DATE(2018,1,1),DATE(2018,12,31),1,{"2018/1/1";"2018/3/30";"2018/4/2";"2018/5/1";"2018/5/8";"2018/7/5";"2018/7/6";"2018/09/28";"2018/11/17";"2018/12/24";"2018/12/25";"2018/12/26"})</f>
        <v>250</v>
      </c>
      <c r="T122" s="21">
        <f t="shared" si="12"/>
        <v>115</v>
      </c>
      <c r="U122" s="21">
        <f t="shared" si="13"/>
        <v>365</v>
      </c>
      <c r="V122" s="311">
        <f t="shared" si="9"/>
        <v>1095</v>
      </c>
      <c r="W122" s="308">
        <f t="shared" si="10"/>
        <v>0</v>
      </c>
      <c r="X122" s="583">
        <f t="shared" si="11"/>
        <v>0</v>
      </c>
      <c r="Y122" s="189">
        <v>0</v>
      </c>
    </row>
    <row r="123" spans="1:25" ht="15" x14ac:dyDescent="0.2">
      <c r="A123" s="138" t="s">
        <v>527</v>
      </c>
      <c r="B123" s="142" t="s">
        <v>611</v>
      </c>
      <c r="C123" s="142" t="s">
        <v>129</v>
      </c>
      <c r="D123" s="506">
        <f>VLOOKUP(C123,'Seznam HS - nemaš'!$A$1:$B$96,2,FALSE)</f>
        <v>401100</v>
      </c>
      <c r="E123" s="243">
        <v>320</v>
      </c>
      <c r="F123" s="301" t="s">
        <v>437</v>
      </c>
      <c r="G123" s="301" t="s">
        <v>607</v>
      </c>
      <c r="H123" s="30">
        <f>+IF(ISBLANK(I123),0,VLOOKUP(I123,'8Příloha_2_ceník_pravid_úklid'!$B$9:$C$30,2,0))</f>
        <v>7</v>
      </c>
      <c r="I123" s="143" t="s">
        <v>14</v>
      </c>
      <c r="J123" s="145">
        <v>3.83</v>
      </c>
      <c r="K123" s="275" t="s">
        <v>50</v>
      </c>
      <c r="L123" s="198" t="s">
        <v>559</v>
      </c>
      <c r="M123" s="22" t="s">
        <v>49</v>
      </c>
      <c r="N123" s="19">
        <f>IF((VLOOKUP(I123,'8Příloha_2_ceník_pravid_úklid'!$B$9:$I$30,8,0))=0,VLOOKUP(I123,'8Příloha_2_ceník_pravid_úklid'!$B$9:$K$30,10,0),VLOOKUP(I123,'8Příloha_2_ceník_pravid_úklid'!$B$9:$I$30,8,0))</f>
        <v>0</v>
      </c>
      <c r="O123" s="20">
        <v>3</v>
      </c>
      <c r="P123" s="20">
        <v>1</v>
      </c>
      <c r="Q123" s="20">
        <v>3</v>
      </c>
      <c r="R123" s="20">
        <v>1</v>
      </c>
      <c r="S123" s="21">
        <f>NETWORKDAYS.INTL(DATE(2018,1,1),DATE(2018,12,31),1,{"2018/1/1";"2018/3/30";"2018/4/2";"2018/5/1";"2018/5/8";"2018/7/5";"2018/7/6";"2018/09/28";"2018/11/17";"2018/12/24";"2018/12/25";"2018/12/26"})</f>
        <v>250</v>
      </c>
      <c r="T123" s="21">
        <f t="shared" si="12"/>
        <v>115</v>
      </c>
      <c r="U123" s="21">
        <f t="shared" si="13"/>
        <v>365</v>
      </c>
      <c r="V123" s="311">
        <f t="shared" si="9"/>
        <v>1095</v>
      </c>
      <c r="W123" s="308">
        <f t="shared" si="10"/>
        <v>0</v>
      </c>
      <c r="X123" s="583">
        <f t="shared" si="11"/>
        <v>0</v>
      </c>
      <c r="Y123" s="189">
        <v>0</v>
      </c>
    </row>
    <row r="124" spans="1:25" ht="15" x14ac:dyDescent="0.2">
      <c r="A124" s="138" t="s">
        <v>527</v>
      </c>
      <c r="B124" s="142" t="s">
        <v>611</v>
      </c>
      <c r="C124" s="142" t="s">
        <v>129</v>
      </c>
      <c r="D124" s="506">
        <f>VLOOKUP(C124,'Seznam HS - nemaš'!$A$1:$B$96,2,FALSE)</f>
        <v>401100</v>
      </c>
      <c r="E124" s="243">
        <v>321</v>
      </c>
      <c r="F124" s="301" t="s">
        <v>437</v>
      </c>
      <c r="G124" s="301" t="s">
        <v>614</v>
      </c>
      <c r="H124" s="30">
        <f>+IF(ISBLANK(I124),0,VLOOKUP(I124,'8Příloha_2_ceník_pravid_úklid'!$B$9:$C$30,2,0))</f>
        <v>7</v>
      </c>
      <c r="I124" s="143" t="s">
        <v>14</v>
      </c>
      <c r="J124" s="145">
        <v>1.26</v>
      </c>
      <c r="K124" s="275" t="s">
        <v>50</v>
      </c>
      <c r="L124" s="198" t="s">
        <v>559</v>
      </c>
      <c r="M124" s="22" t="s">
        <v>49</v>
      </c>
      <c r="N124" s="19">
        <f>IF((VLOOKUP(I124,'8Příloha_2_ceník_pravid_úklid'!$B$9:$I$30,8,0))=0,VLOOKUP(I124,'8Příloha_2_ceník_pravid_úklid'!$B$9:$K$30,10,0),VLOOKUP(I124,'8Příloha_2_ceník_pravid_úklid'!$B$9:$I$30,8,0))</f>
        <v>0</v>
      </c>
      <c r="O124" s="20">
        <v>3</v>
      </c>
      <c r="P124" s="20">
        <v>1</v>
      </c>
      <c r="Q124" s="20">
        <v>3</v>
      </c>
      <c r="R124" s="20">
        <v>1</v>
      </c>
      <c r="S124" s="21">
        <f>NETWORKDAYS.INTL(DATE(2018,1,1),DATE(2018,12,31),1,{"2018/1/1";"2018/3/30";"2018/4/2";"2018/5/1";"2018/5/8";"2018/7/5";"2018/7/6";"2018/09/28";"2018/11/17";"2018/12/24";"2018/12/25";"2018/12/26"})</f>
        <v>250</v>
      </c>
      <c r="T124" s="21">
        <f t="shared" si="12"/>
        <v>115</v>
      </c>
      <c r="U124" s="21">
        <f t="shared" si="13"/>
        <v>365</v>
      </c>
      <c r="V124" s="311">
        <f t="shared" si="9"/>
        <v>1095</v>
      </c>
      <c r="W124" s="308">
        <f t="shared" si="10"/>
        <v>0</v>
      </c>
      <c r="X124" s="583">
        <f t="shared" si="11"/>
        <v>0</v>
      </c>
      <c r="Y124" s="189">
        <v>0</v>
      </c>
    </row>
    <row r="125" spans="1:25" ht="15" x14ac:dyDescent="0.2">
      <c r="A125" s="138" t="s">
        <v>527</v>
      </c>
      <c r="B125" s="142" t="s">
        <v>611</v>
      </c>
      <c r="C125" s="142" t="s">
        <v>129</v>
      </c>
      <c r="D125" s="506">
        <f>VLOOKUP(C125,'Seznam HS - nemaš'!$A$1:$B$96,2,FALSE)</f>
        <v>401100</v>
      </c>
      <c r="E125" s="243">
        <v>322</v>
      </c>
      <c r="F125" s="301" t="s">
        <v>437</v>
      </c>
      <c r="G125" s="301" t="s">
        <v>539</v>
      </c>
      <c r="H125" s="30">
        <f>+IF(ISBLANK(I125),0,VLOOKUP(I125,'8Příloha_2_ceník_pravid_úklid'!$B$9:$C$30,2,0))</f>
        <v>7</v>
      </c>
      <c r="I125" s="143" t="s">
        <v>14</v>
      </c>
      <c r="J125" s="145">
        <v>1.08</v>
      </c>
      <c r="K125" s="275" t="s">
        <v>50</v>
      </c>
      <c r="L125" s="198" t="s">
        <v>559</v>
      </c>
      <c r="M125" s="22" t="s">
        <v>49</v>
      </c>
      <c r="N125" s="19">
        <f>IF((VLOOKUP(I125,'8Příloha_2_ceník_pravid_úklid'!$B$9:$I$30,8,0))=0,VLOOKUP(I125,'8Příloha_2_ceník_pravid_úklid'!$B$9:$K$30,10,0),VLOOKUP(I125,'8Příloha_2_ceník_pravid_úklid'!$B$9:$I$30,8,0))</f>
        <v>0</v>
      </c>
      <c r="O125" s="20">
        <v>3</v>
      </c>
      <c r="P125" s="20">
        <v>1</v>
      </c>
      <c r="Q125" s="20">
        <v>3</v>
      </c>
      <c r="R125" s="20">
        <v>1</v>
      </c>
      <c r="S125" s="21">
        <f>NETWORKDAYS.INTL(DATE(2018,1,1),DATE(2018,12,31),1,{"2018/1/1";"2018/3/30";"2018/4/2";"2018/5/1";"2018/5/8";"2018/7/5";"2018/7/6";"2018/09/28";"2018/11/17";"2018/12/24";"2018/12/25";"2018/12/26"})</f>
        <v>250</v>
      </c>
      <c r="T125" s="21">
        <f t="shared" si="12"/>
        <v>115</v>
      </c>
      <c r="U125" s="21">
        <f t="shared" si="13"/>
        <v>365</v>
      </c>
      <c r="V125" s="311">
        <f t="shared" si="9"/>
        <v>1095</v>
      </c>
      <c r="W125" s="308">
        <f t="shared" si="10"/>
        <v>0</v>
      </c>
      <c r="X125" s="583">
        <f t="shared" si="11"/>
        <v>0</v>
      </c>
      <c r="Y125" s="189">
        <v>0</v>
      </c>
    </row>
    <row r="126" spans="1:25" ht="15" x14ac:dyDescent="0.2">
      <c r="A126" s="138" t="s">
        <v>527</v>
      </c>
      <c r="B126" s="142" t="s">
        <v>611</v>
      </c>
      <c r="C126" s="142" t="s">
        <v>129</v>
      </c>
      <c r="D126" s="506">
        <f>VLOOKUP(C126,'Seznam HS - nemaš'!$A$1:$B$96,2,FALSE)</f>
        <v>401100</v>
      </c>
      <c r="E126" s="243">
        <v>323</v>
      </c>
      <c r="F126" s="301" t="s">
        <v>437</v>
      </c>
      <c r="G126" s="301" t="s">
        <v>539</v>
      </c>
      <c r="H126" s="30">
        <f>+IF(ISBLANK(I126),0,VLOOKUP(I126,'8Příloha_2_ceník_pravid_úklid'!$B$9:$C$30,2,0))</f>
        <v>7</v>
      </c>
      <c r="I126" s="143" t="s">
        <v>14</v>
      </c>
      <c r="J126" s="145">
        <v>1.08</v>
      </c>
      <c r="K126" s="275" t="s">
        <v>50</v>
      </c>
      <c r="L126" s="198" t="s">
        <v>559</v>
      </c>
      <c r="M126" s="22" t="s">
        <v>49</v>
      </c>
      <c r="N126" s="19">
        <f>IF((VLOOKUP(I126,'8Příloha_2_ceník_pravid_úklid'!$B$9:$I$30,8,0))=0,VLOOKUP(I126,'8Příloha_2_ceník_pravid_úklid'!$B$9:$K$30,10,0),VLOOKUP(I126,'8Příloha_2_ceník_pravid_úklid'!$B$9:$I$30,8,0))</f>
        <v>0</v>
      </c>
      <c r="O126" s="20">
        <v>3</v>
      </c>
      <c r="P126" s="20">
        <v>1</v>
      </c>
      <c r="Q126" s="20">
        <v>3</v>
      </c>
      <c r="R126" s="20">
        <v>1</v>
      </c>
      <c r="S126" s="21">
        <f>NETWORKDAYS.INTL(DATE(2018,1,1),DATE(2018,12,31),1,{"2018/1/1";"2018/3/30";"2018/4/2";"2018/5/1";"2018/5/8";"2018/7/5";"2018/7/6";"2018/09/28";"2018/11/17";"2018/12/24";"2018/12/25";"2018/12/26"})</f>
        <v>250</v>
      </c>
      <c r="T126" s="21">
        <f t="shared" si="12"/>
        <v>115</v>
      </c>
      <c r="U126" s="21">
        <f t="shared" si="13"/>
        <v>365</v>
      </c>
      <c r="V126" s="311">
        <f t="shared" si="9"/>
        <v>1095</v>
      </c>
      <c r="W126" s="308">
        <f t="shared" si="10"/>
        <v>0</v>
      </c>
      <c r="X126" s="583">
        <f t="shared" si="11"/>
        <v>0</v>
      </c>
      <c r="Y126" s="189">
        <v>0</v>
      </c>
    </row>
    <row r="127" spans="1:25" ht="15" x14ac:dyDescent="0.2">
      <c r="A127" s="138" t="s">
        <v>527</v>
      </c>
      <c r="B127" s="142" t="s">
        <v>611</v>
      </c>
      <c r="C127" s="142" t="s">
        <v>129</v>
      </c>
      <c r="D127" s="506">
        <f>VLOOKUP(C127,'Seznam HS - nemaš'!$A$1:$B$96,2,FALSE)</f>
        <v>401100</v>
      </c>
      <c r="E127" s="243">
        <v>324</v>
      </c>
      <c r="F127" s="301" t="s">
        <v>53</v>
      </c>
      <c r="G127" s="301"/>
      <c r="H127" s="30">
        <f>+IF(ISBLANK(I127),0,VLOOKUP(I127,'8Příloha_2_ceník_pravid_úklid'!$B$9:$C$30,2,0))</f>
        <v>6</v>
      </c>
      <c r="I127" s="143" t="s">
        <v>1</v>
      </c>
      <c r="J127" s="145">
        <v>57.25</v>
      </c>
      <c r="K127" s="275" t="s">
        <v>51</v>
      </c>
      <c r="L127" s="156" t="s">
        <v>22</v>
      </c>
      <c r="M127" s="22" t="s">
        <v>49</v>
      </c>
      <c r="N127" s="19">
        <f>IF((VLOOKUP(I127,'8Příloha_2_ceník_pravid_úklid'!$B$9:$I$30,8,0))=0,VLOOKUP(I127,'8Příloha_2_ceník_pravid_úklid'!$B$9:$K$30,10,0),VLOOKUP(I127,'8Příloha_2_ceník_pravid_úklid'!$B$9:$I$30,8,0))</f>
        <v>0</v>
      </c>
      <c r="O127" s="20">
        <v>2</v>
      </c>
      <c r="P127" s="20">
        <v>1</v>
      </c>
      <c r="Q127" s="20">
        <v>2</v>
      </c>
      <c r="R127" s="20">
        <v>1</v>
      </c>
      <c r="S127" s="21">
        <f>NETWORKDAYS.INTL(DATE(2018,1,1),DATE(2018,12,31),1,{"2018/1/1";"2018/3/30";"2018/4/2";"2018/5/1";"2018/5/8";"2018/7/5";"2018/7/6";"2018/09/28";"2018/11/17";"2018/12/24";"2018/12/25";"2018/12/26"})</f>
        <v>250</v>
      </c>
      <c r="T127" s="21">
        <f t="shared" si="12"/>
        <v>115</v>
      </c>
      <c r="U127" s="21">
        <f t="shared" si="13"/>
        <v>365</v>
      </c>
      <c r="V127" s="311">
        <f t="shared" si="9"/>
        <v>730</v>
      </c>
      <c r="W127" s="308">
        <f t="shared" si="10"/>
        <v>0</v>
      </c>
      <c r="X127" s="583">
        <f t="shared" si="11"/>
        <v>0</v>
      </c>
      <c r="Y127" s="189">
        <v>0</v>
      </c>
    </row>
    <row r="128" spans="1:25" ht="14.25" customHeight="1" x14ac:dyDescent="0.2">
      <c r="A128" s="138" t="s">
        <v>527</v>
      </c>
      <c r="B128" s="142" t="s">
        <v>611</v>
      </c>
      <c r="C128" s="142" t="s">
        <v>129</v>
      </c>
      <c r="D128" s="506">
        <f>VLOOKUP(C128,'Seznam HS - nemaš'!$A$1:$B$96,2,FALSE)</f>
        <v>401100</v>
      </c>
      <c r="E128" s="243">
        <v>325</v>
      </c>
      <c r="F128" s="301" t="s">
        <v>567</v>
      </c>
      <c r="G128" s="301"/>
      <c r="H128" s="30">
        <f>+IF(ISBLANK(I128),0,VLOOKUP(I128,'8Příloha_2_ceník_pravid_úklid'!$B$9:$C$30,2,0))</f>
        <v>1</v>
      </c>
      <c r="I128" s="143" t="s">
        <v>78</v>
      </c>
      <c r="J128" s="145">
        <v>17.079999999999998</v>
      </c>
      <c r="K128" s="275" t="s">
        <v>51</v>
      </c>
      <c r="L128" s="156" t="s">
        <v>537</v>
      </c>
      <c r="M128" s="22" t="s">
        <v>49</v>
      </c>
      <c r="N128" s="19">
        <f>IF((VLOOKUP(I128,'8Příloha_2_ceník_pravid_úklid'!$B$9:$I$30,8,0))=0,VLOOKUP(I128,'8Příloha_2_ceník_pravid_úklid'!$B$9:$K$30,10,0),VLOOKUP(I128,'8Příloha_2_ceník_pravid_úklid'!$B$9:$I$30,8,0))</f>
        <v>0</v>
      </c>
      <c r="O128" s="20">
        <v>1</v>
      </c>
      <c r="P128" s="20">
        <v>1</v>
      </c>
      <c r="Q128" s="20">
        <v>1</v>
      </c>
      <c r="R128" s="20">
        <v>1</v>
      </c>
      <c r="S128" s="21">
        <f>NETWORKDAYS.INTL(DATE(2018,1,1),DATE(2018,12,31),1,{"2018/1/1";"2018/3/30";"2018/4/2";"2018/5/1";"2018/5/8";"2018/7/5";"2018/7/6";"2018/09/28";"2018/11/17";"2018/12/24";"2018/12/25";"2018/12/26"})</f>
        <v>250</v>
      </c>
      <c r="T128" s="21">
        <f t="shared" si="12"/>
        <v>115</v>
      </c>
      <c r="U128" s="21">
        <f t="shared" si="13"/>
        <v>365</v>
      </c>
      <c r="V128" s="311">
        <f t="shared" si="9"/>
        <v>365</v>
      </c>
      <c r="W128" s="308">
        <f t="shared" si="10"/>
        <v>0</v>
      </c>
      <c r="X128" s="583">
        <f t="shared" si="11"/>
        <v>0</v>
      </c>
      <c r="Y128" s="189">
        <v>0</v>
      </c>
    </row>
    <row r="129" spans="1:25" ht="15" x14ac:dyDescent="0.2">
      <c r="A129" s="138" t="s">
        <v>527</v>
      </c>
      <c r="B129" s="142" t="s">
        <v>611</v>
      </c>
      <c r="C129" s="142" t="s">
        <v>129</v>
      </c>
      <c r="D129" s="506">
        <f>VLOOKUP(C129,'Seznam HS - nemaš'!$A$1:$B$96,2,FALSE)</f>
        <v>401100</v>
      </c>
      <c r="E129" s="243">
        <v>326</v>
      </c>
      <c r="F129" s="301" t="s">
        <v>567</v>
      </c>
      <c r="G129" s="301"/>
      <c r="H129" s="30">
        <f>+IF(ISBLANK(I129),0,VLOOKUP(I129,'8Příloha_2_ceník_pravid_úklid'!$B$9:$C$30,2,0))</f>
        <v>1</v>
      </c>
      <c r="I129" s="143" t="s">
        <v>78</v>
      </c>
      <c r="J129" s="145">
        <v>16.52</v>
      </c>
      <c r="K129" s="275" t="s">
        <v>51</v>
      </c>
      <c r="L129" s="156" t="s">
        <v>537</v>
      </c>
      <c r="M129" s="22" t="s">
        <v>49</v>
      </c>
      <c r="N129" s="19">
        <f>IF((VLOOKUP(I129,'8Příloha_2_ceník_pravid_úklid'!$B$9:$I$30,8,0))=0,VLOOKUP(I129,'8Příloha_2_ceník_pravid_úklid'!$B$9:$K$30,10,0),VLOOKUP(I129,'8Příloha_2_ceník_pravid_úklid'!$B$9:$I$30,8,0))</f>
        <v>0</v>
      </c>
      <c r="O129" s="20">
        <v>1</v>
      </c>
      <c r="P129" s="20">
        <v>1</v>
      </c>
      <c r="Q129" s="20">
        <v>1</v>
      </c>
      <c r="R129" s="20">
        <v>1</v>
      </c>
      <c r="S129" s="21">
        <f>NETWORKDAYS.INTL(DATE(2018,1,1),DATE(2018,12,31),1,{"2018/1/1";"2018/3/30";"2018/4/2";"2018/5/1";"2018/5/8";"2018/7/5";"2018/7/6";"2018/09/28";"2018/11/17";"2018/12/24";"2018/12/25";"2018/12/26"})</f>
        <v>250</v>
      </c>
      <c r="T129" s="21">
        <f t="shared" si="12"/>
        <v>115</v>
      </c>
      <c r="U129" s="21">
        <f t="shared" si="13"/>
        <v>365</v>
      </c>
      <c r="V129" s="311">
        <f t="shared" si="9"/>
        <v>365</v>
      </c>
      <c r="W129" s="308">
        <f t="shared" si="10"/>
        <v>0</v>
      </c>
      <c r="X129" s="583">
        <f t="shared" si="11"/>
        <v>0</v>
      </c>
      <c r="Y129" s="189">
        <v>0</v>
      </c>
    </row>
    <row r="130" spans="1:25" ht="15" x14ac:dyDescent="0.2">
      <c r="A130" s="138" t="s">
        <v>527</v>
      </c>
      <c r="B130" s="142" t="s">
        <v>611</v>
      </c>
      <c r="C130" s="142" t="s">
        <v>129</v>
      </c>
      <c r="D130" s="506">
        <f>VLOOKUP(C130,'Seznam HS - nemaš'!$A$1:$B$96,2,FALSE)</f>
        <v>401100</v>
      </c>
      <c r="E130" s="243">
        <v>327</v>
      </c>
      <c r="F130" s="301" t="s">
        <v>567</v>
      </c>
      <c r="G130" s="301"/>
      <c r="H130" s="30">
        <f>+IF(ISBLANK(I130),0,VLOOKUP(I130,'8Příloha_2_ceník_pravid_úklid'!$B$9:$C$30,2,0))</f>
        <v>1</v>
      </c>
      <c r="I130" s="143" t="s">
        <v>78</v>
      </c>
      <c r="J130" s="145">
        <v>14.84</v>
      </c>
      <c r="K130" s="275" t="s">
        <v>51</v>
      </c>
      <c r="L130" s="156" t="s">
        <v>537</v>
      </c>
      <c r="M130" s="22" t="s">
        <v>49</v>
      </c>
      <c r="N130" s="19">
        <f>IF((VLOOKUP(I130,'8Příloha_2_ceník_pravid_úklid'!$B$9:$I$30,8,0))=0,VLOOKUP(I130,'8Příloha_2_ceník_pravid_úklid'!$B$9:$K$30,10,0),VLOOKUP(I130,'8Příloha_2_ceník_pravid_úklid'!$B$9:$I$30,8,0))</f>
        <v>0</v>
      </c>
      <c r="O130" s="20">
        <v>1</v>
      </c>
      <c r="P130" s="20">
        <v>1</v>
      </c>
      <c r="Q130" s="20">
        <v>1</v>
      </c>
      <c r="R130" s="20">
        <v>1</v>
      </c>
      <c r="S130" s="21">
        <f>NETWORKDAYS.INTL(DATE(2018,1,1),DATE(2018,12,31),1,{"2018/1/1";"2018/3/30";"2018/4/2";"2018/5/1";"2018/5/8";"2018/7/5";"2018/7/6";"2018/09/28";"2018/11/17";"2018/12/24";"2018/12/25";"2018/12/26"})</f>
        <v>250</v>
      </c>
      <c r="T130" s="21">
        <f t="shared" si="12"/>
        <v>115</v>
      </c>
      <c r="U130" s="21">
        <f t="shared" si="13"/>
        <v>365</v>
      </c>
      <c r="V130" s="311">
        <f t="shared" si="9"/>
        <v>365</v>
      </c>
      <c r="W130" s="308">
        <f t="shared" si="10"/>
        <v>0</v>
      </c>
      <c r="X130" s="583">
        <f t="shared" si="11"/>
        <v>0</v>
      </c>
      <c r="Y130" s="189">
        <v>0</v>
      </c>
    </row>
    <row r="131" spans="1:25" ht="15" x14ac:dyDescent="0.2">
      <c r="A131" s="138" t="s">
        <v>527</v>
      </c>
      <c r="B131" s="142" t="s">
        <v>611</v>
      </c>
      <c r="C131" s="142" t="s">
        <v>129</v>
      </c>
      <c r="D131" s="506">
        <f>VLOOKUP(C131,'Seznam HS - nemaš'!$A$1:$B$96,2,FALSE)</f>
        <v>401100</v>
      </c>
      <c r="E131" s="243">
        <v>328</v>
      </c>
      <c r="F131" s="301" t="s">
        <v>567</v>
      </c>
      <c r="G131" s="301"/>
      <c r="H131" s="30">
        <f>+IF(ISBLANK(I131),0,VLOOKUP(I131,'8Příloha_2_ceník_pravid_úklid'!$B$9:$C$30,2,0))</f>
        <v>1</v>
      </c>
      <c r="I131" s="143" t="s">
        <v>78</v>
      </c>
      <c r="J131" s="145">
        <v>15.4</v>
      </c>
      <c r="K131" s="275" t="s">
        <v>51</v>
      </c>
      <c r="L131" s="156" t="s">
        <v>537</v>
      </c>
      <c r="M131" s="22" t="s">
        <v>49</v>
      </c>
      <c r="N131" s="19">
        <f>IF((VLOOKUP(I131,'8Příloha_2_ceník_pravid_úklid'!$B$9:$I$30,8,0))=0,VLOOKUP(I131,'8Příloha_2_ceník_pravid_úklid'!$B$9:$K$30,10,0),VLOOKUP(I131,'8Příloha_2_ceník_pravid_úklid'!$B$9:$I$30,8,0))</f>
        <v>0</v>
      </c>
      <c r="O131" s="20">
        <v>1</v>
      </c>
      <c r="P131" s="20">
        <v>1</v>
      </c>
      <c r="Q131" s="20">
        <v>1</v>
      </c>
      <c r="R131" s="20">
        <v>1</v>
      </c>
      <c r="S131" s="21">
        <f>NETWORKDAYS.INTL(DATE(2018,1,1),DATE(2018,12,31),1,{"2018/1/1";"2018/3/30";"2018/4/2";"2018/5/1";"2018/5/8";"2018/7/5";"2018/7/6";"2018/09/28";"2018/11/17";"2018/12/24";"2018/12/25";"2018/12/26"})</f>
        <v>250</v>
      </c>
      <c r="T131" s="21">
        <f t="shared" si="12"/>
        <v>115</v>
      </c>
      <c r="U131" s="21">
        <f t="shared" si="13"/>
        <v>365</v>
      </c>
      <c r="V131" s="311">
        <f t="shared" si="9"/>
        <v>365</v>
      </c>
      <c r="W131" s="308">
        <f t="shared" si="10"/>
        <v>0</v>
      </c>
      <c r="X131" s="583">
        <f t="shared" si="11"/>
        <v>0</v>
      </c>
      <c r="Y131" s="189">
        <v>0</v>
      </c>
    </row>
    <row r="132" spans="1:25" ht="15" x14ac:dyDescent="0.2">
      <c r="A132" s="138" t="s">
        <v>527</v>
      </c>
      <c r="B132" s="142" t="s">
        <v>611</v>
      </c>
      <c r="C132" s="142" t="s">
        <v>129</v>
      </c>
      <c r="D132" s="506">
        <f>VLOOKUP(C132,'Seznam HS - nemaš'!$A$1:$B$96,2,FALSE)</f>
        <v>401100</v>
      </c>
      <c r="E132" s="243">
        <v>329</v>
      </c>
      <c r="F132" s="301" t="s">
        <v>567</v>
      </c>
      <c r="G132" s="301"/>
      <c r="H132" s="30">
        <f>+IF(ISBLANK(I132),0,VLOOKUP(I132,'8Příloha_2_ceník_pravid_úklid'!$B$9:$C$30,2,0))</f>
        <v>1</v>
      </c>
      <c r="I132" s="143" t="s">
        <v>78</v>
      </c>
      <c r="J132" s="145">
        <v>14.28</v>
      </c>
      <c r="K132" s="275" t="s">
        <v>51</v>
      </c>
      <c r="L132" s="156" t="s">
        <v>537</v>
      </c>
      <c r="M132" s="22" t="s">
        <v>49</v>
      </c>
      <c r="N132" s="19">
        <f>IF((VLOOKUP(I132,'8Příloha_2_ceník_pravid_úklid'!$B$9:$I$30,8,0))=0,VLOOKUP(I132,'8Příloha_2_ceník_pravid_úklid'!$B$9:$K$30,10,0),VLOOKUP(I132,'8Příloha_2_ceník_pravid_úklid'!$B$9:$I$30,8,0))</f>
        <v>0</v>
      </c>
      <c r="O132" s="20">
        <v>1</v>
      </c>
      <c r="P132" s="20">
        <v>1</v>
      </c>
      <c r="Q132" s="20">
        <v>1</v>
      </c>
      <c r="R132" s="20">
        <v>1</v>
      </c>
      <c r="S132" s="21">
        <f>NETWORKDAYS.INTL(DATE(2018,1,1),DATE(2018,12,31),1,{"2018/1/1";"2018/3/30";"2018/4/2";"2018/5/1";"2018/5/8";"2018/7/5";"2018/7/6";"2018/09/28";"2018/11/17";"2018/12/24";"2018/12/25";"2018/12/26"})</f>
        <v>250</v>
      </c>
      <c r="T132" s="21">
        <f t="shared" si="12"/>
        <v>115</v>
      </c>
      <c r="U132" s="21">
        <f t="shared" si="13"/>
        <v>365</v>
      </c>
      <c r="V132" s="311">
        <f t="shared" si="9"/>
        <v>365</v>
      </c>
      <c r="W132" s="308">
        <f t="shared" si="10"/>
        <v>0</v>
      </c>
      <c r="X132" s="583">
        <f t="shared" si="11"/>
        <v>0</v>
      </c>
      <c r="Y132" s="189">
        <v>0</v>
      </c>
    </row>
    <row r="133" spans="1:25" ht="15" x14ac:dyDescent="0.2">
      <c r="A133" s="138" t="s">
        <v>527</v>
      </c>
      <c r="B133" s="142" t="s">
        <v>611</v>
      </c>
      <c r="C133" s="142" t="s">
        <v>129</v>
      </c>
      <c r="D133" s="506">
        <f>VLOOKUP(C133,'Seznam HS - nemaš'!$A$1:$B$96,2,FALSE)</f>
        <v>401100</v>
      </c>
      <c r="E133" s="243">
        <v>330</v>
      </c>
      <c r="F133" s="301" t="s">
        <v>567</v>
      </c>
      <c r="G133" s="301"/>
      <c r="H133" s="30">
        <f>+IF(ISBLANK(I133),0,VLOOKUP(I133,'8Příloha_2_ceník_pravid_úklid'!$B$9:$C$30,2,0))</f>
        <v>1</v>
      </c>
      <c r="I133" s="143" t="s">
        <v>78</v>
      </c>
      <c r="J133" s="145">
        <v>12.68</v>
      </c>
      <c r="K133" s="275" t="s">
        <v>51</v>
      </c>
      <c r="L133" s="156" t="s">
        <v>537</v>
      </c>
      <c r="M133" s="22" t="s">
        <v>49</v>
      </c>
      <c r="N133" s="19">
        <f>IF((VLOOKUP(I133,'8Příloha_2_ceník_pravid_úklid'!$B$9:$I$30,8,0))=0,VLOOKUP(I133,'8Příloha_2_ceník_pravid_úklid'!$B$9:$K$30,10,0),VLOOKUP(I133,'8Příloha_2_ceník_pravid_úklid'!$B$9:$I$30,8,0))</f>
        <v>0</v>
      </c>
      <c r="O133" s="20">
        <v>1</v>
      </c>
      <c r="P133" s="20">
        <v>1</v>
      </c>
      <c r="Q133" s="20">
        <v>1</v>
      </c>
      <c r="R133" s="20">
        <v>1</v>
      </c>
      <c r="S133" s="21">
        <f>NETWORKDAYS.INTL(DATE(2018,1,1),DATE(2018,12,31),1,{"2018/1/1";"2018/3/30";"2018/4/2";"2018/5/1";"2018/5/8";"2018/7/5";"2018/7/6";"2018/09/28";"2018/11/17";"2018/12/24";"2018/12/25";"2018/12/26"})</f>
        <v>250</v>
      </c>
      <c r="T133" s="21">
        <f t="shared" si="12"/>
        <v>115</v>
      </c>
      <c r="U133" s="21">
        <f t="shared" si="13"/>
        <v>365</v>
      </c>
      <c r="V133" s="311">
        <f t="shared" si="9"/>
        <v>365</v>
      </c>
      <c r="W133" s="308">
        <f t="shared" si="10"/>
        <v>0</v>
      </c>
      <c r="X133" s="583">
        <f t="shared" si="11"/>
        <v>0</v>
      </c>
      <c r="Y133" s="189">
        <v>0</v>
      </c>
    </row>
    <row r="134" spans="1:25" ht="15" x14ac:dyDescent="0.2">
      <c r="A134" s="138" t="s">
        <v>527</v>
      </c>
      <c r="B134" s="142" t="s">
        <v>611</v>
      </c>
      <c r="C134" s="142" t="s">
        <v>129</v>
      </c>
      <c r="D134" s="506">
        <f>VLOOKUP(C134,'Seznam HS - nemaš'!$A$1:$B$96,2,FALSE)</f>
        <v>401100</v>
      </c>
      <c r="E134" s="243">
        <v>331</v>
      </c>
      <c r="F134" s="301" t="s">
        <v>567</v>
      </c>
      <c r="G134" s="301"/>
      <c r="H134" s="30">
        <f>+IF(ISBLANK(I134),0,VLOOKUP(I134,'8Příloha_2_ceník_pravid_úklid'!$B$9:$C$30,2,0))</f>
        <v>1</v>
      </c>
      <c r="I134" s="143" t="s">
        <v>78</v>
      </c>
      <c r="J134" s="145">
        <v>11.79</v>
      </c>
      <c r="K134" s="275" t="s">
        <v>51</v>
      </c>
      <c r="L134" s="156" t="s">
        <v>537</v>
      </c>
      <c r="M134" s="22" t="s">
        <v>49</v>
      </c>
      <c r="N134" s="19">
        <f>IF((VLOOKUP(I134,'8Příloha_2_ceník_pravid_úklid'!$B$9:$I$30,8,0))=0,VLOOKUP(I134,'8Příloha_2_ceník_pravid_úklid'!$B$9:$K$30,10,0),VLOOKUP(I134,'8Příloha_2_ceník_pravid_úklid'!$B$9:$I$30,8,0))</f>
        <v>0</v>
      </c>
      <c r="O134" s="20">
        <v>1</v>
      </c>
      <c r="P134" s="20">
        <v>1</v>
      </c>
      <c r="Q134" s="20">
        <v>1</v>
      </c>
      <c r="R134" s="20">
        <v>1</v>
      </c>
      <c r="S134" s="21">
        <f>NETWORKDAYS.INTL(DATE(2018,1,1),DATE(2018,12,31),1,{"2018/1/1";"2018/3/30";"2018/4/2";"2018/5/1";"2018/5/8";"2018/7/5";"2018/7/6";"2018/09/28";"2018/11/17";"2018/12/24";"2018/12/25";"2018/12/26"})</f>
        <v>250</v>
      </c>
      <c r="T134" s="21">
        <f t="shared" ref="T134:T165" si="14">U134-S134</f>
        <v>115</v>
      </c>
      <c r="U134" s="21">
        <f t="shared" ref="U134:U165" si="15">_xlfn.DAYS("1.1.2019","1.1.2018")</f>
        <v>365</v>
      </c>
      <c r="V134" s="311">
        <f t="shared" ref="V134:V174" si="16">ROUND(O134*P134*S134+Q134*R134*T134,2)</f>
        <v>365</v>
      </c>
      <c r="W134" s="308">
        <f t="shared" ref="W134:W174" si="17">ROUND(IF(N134="neoceňuje se",+J134*0*V134,J134*N134*V134),2)</f>
        <v>0</v>
      </c>
      <c r="X134" s="583">
        <f t="shared" ref="X134:Y174" si="18">ROUND(W134*1.21,2)</f>
        <v>0</v>
      </c>
      <c r="Y134" s="189">
        <v>0</v>
      </c>
    </row>
    <row r="135" spans="1:25" ht="15" x14ac:dyDescent="0.2">
      <c r="A135" s="138" t="s">
        <v>527</v>
      </c>
      <c r="B135" s="142" t="s">
        <v>611</v>
      </c>
      <c r="C135" s="142" t="s">
        <v>129</v>
      </c>
      <c r="D135" s="506">
        <f>VLOOKUP(C135,'Seznam HS - nemaš'!$A$1:$B$96,2,FALSE)</f>
        <v>401100</v>
      </c>
      <c r="E135" s="243">
        <v>332</v>
      </c>
      <c r="F135" s="301" t="s">
        <v>567</v>
      </c>
      <c r="G135" s="301"/>
      <c r="H135" s="30">
        <f>+IF(ISBLANK(I135),0,VLOOKUP(I135,'8Příloha_2_ceník_pravid_úklid'!$B$9:$C$30,2,0))</f>
        <v>1</v>
      </c>
      <c r="I135" s="143" t="s">
        <v>78</v>
      </c>
      <c r="J135" s="145">
        <v>10.35</v>
      </c>
      <c r="K135" s="275" t="s">
        <v>51</v>
      </c>
      <c r="L135" s="156" t="s">
        <v>537</v>
      </c>
      <c r="M135" s="22" t="s">
        <v>49</v>
      </c>
      <c r="N135" s="19">
        <f>IF((VLOOKUP(I135,'8Příloha_2_ceník_pravid_úklid'!$B$9:$I$30,8,0))=0,VLOOKUP(I135,'8Příloha_2_ceník_pravid_úklid'!$B$9:$K$30,10,0),VLOOKUP(I135,'8Příloha_2_ceník_pravid_úklid'!$B$9:$I$30,8,0))</f>
        <v>0</v>
      </c>
      <c r="O135" s="20">
        <v>1</v>
      </c>
      <c r="P135" s="20">
        <v>1</v>
      </c>
      <c r="Q135" s="20">
        <v>1</v>
      </c>
      <c r="R135" s="20">
        <v>1</v>
      </c>
      <c r="S135" s="21">
        <f>NETWORKDAYS.INTL(DATE(2018,1,1),DATE(2018,12,31),1,{"2018/1/1";"2018/3/30";"2018/4/2";"2018/5/1";"2018/5/8";"2018/7/5";"2018/7/6";"2018/09/28";"2018/11/17";"2018/12/24";"2018/12/25";"2018/12/26"})</f>
        <v>250</v>
      </c>
      <c r="T135" s="21">
        <f t="shared" si="14"/>
        <v>115</v>
      </c>
      <c r="U135" s="21">
        <f t="shared" si="15"/>
        <v>365</v>
      </c>
      <c r="V135" s="311">
        <f t="shared" si="16"/>
        <v>365</v>
      </c>
      <c r="W135" s="308">
        <f t="shared" si="17"/>
        <v>0</v>
      </c>
      <c r="X135" s="583">
        <f t="shared" si="18"/>
        <v>0</v>
      </c>
      <c r="Y135" s="189">
        <v>0</v>
      </c>
    </row>
    <row r="136" spans="1:25" ht="15" x14ac:dyDescent="0.2">
      <c r="A136" s="138" t="s">
        <v>527</v>
      </c>
      <c r="B136" s="142" t="s">
        <v>611</v>
      </c>
      <c r="C136" s="142" t="s">
        <v>129</v>
      </c>
      <c r="D136" s="506">
        <f>VLOOKUP(C136,'Seznam HS - nemaš'!$A$1:$B$96,2,FALSE)</f>
        <v>401100</v>
      </c>
      <c r="E136" s="243" t="s">
        <v>1735</v>
      </c>
      <c r="F136" s="154" t="s">
        <v>585</v>
      </c>
      <c r="G136" s="244" t="s">
        <v>567</v>
      </c>
      <c r="H136" s="30">
        <f>+IF(ISBLANK(I136),0,VLOOKUP(I136,'8Příloha_2_ceník_pravid_úklid'!$B$9:$C$30,2,0))</f>
        <v>7</v>
      </c>
      <c r="I136" s="143" t="s">
        <v>14</v>
      </c>
      <c r="J136" s="145">
        <v>2.06</v>
      </c>
      <c r="K136" s="275" t="s">
        <v>51</v>
      </c>
      <c r="L136" s="156" t="s">
        <v>537</v>
      </c>
      <c r="M136" s="22" t="s">
        <v>49</v>
      </c>
      <c r="N136" s="19">
        <f>IF((VLOOKUP(I136,'8Příloha_2_ceník_pravid_úklid'!$B$9:$I$30,8,0))=0,VLOOKUP(I136,'8Příloha_2_ceník_pravid_úklid'!$B$9:$K$30,10,0),VLOOKUP(I136,'8Příloha_2_ceník_pravid_úklid'!$B$9:$I$30,8,0))</f>
        <v>0</v>
      </c>
      <c r="O136" s="20">
        <v>1</v>
      </c>
      <c r="P136" s="20">
        <v>1</v>
      </c>
      <c r="Q136" s="20">
        <v>1</v>
      </c>
      <c r="R136" s="20">
        <v>1</v>
      </c>
      <c r="S136" s="21">
        <f>NETWORKDAYS.INTL(DATE(2018,1,1),DATE(2018,12,31),1,{"2018/1/1";"2018/3/30";"2018/4/2";"2018/5/1";"2018/5/8";"2018/7/5";"2018/7/6";"2018/09/28";"2018/11/17";"2018/12/24";"2018/12/25";"2018/12/26"})</f>
        <v>250</v>
      </c>
      <c r="T136" s="21">
        <f t="shared" si="14"/>
        <v>115</v>
      </c>
      <c r="U136" s="21">
        <f t="shared" si="15"/>
        <v>365</v>
      </c>
      <c r="V136" s="311">
        <f t="shared" si="16"/>
        <v>365</v>
      </c>
      <c r="W136" s="548">
        <f t="shared" si="17"/>
        <v>0</v>
      </c>
      <c r="X136" s="581">
        <f t="shared" si="18"/>
        <v>0</v>
      </c>
      <c r="Y136" s="189">
        <v>0</v>
      </c>
    </row>
    <row r="137" spans="1:25" ht="15" x14ac:dyDescent="0.2">
      <c r="A137" s="138" t="s">
        <v>527</v>
      </c>
      <c r="B137" s="142" t="s">
        <v>611</v>
      </c>
      <c r="C137" s="142" t="s">
        <v>129</v>
      </c>
      <c r="D137" s="506">
        <f>VLOOKUP(C137,'Seznam HS - nemaš'!$A$1:$B$96,2,FALSE)</f>
        <v>401100</v>
      </c>
      <c r="E137" s="243">
        <v>333</v>
      </c>
      <c r="F137" s="301" t="s">
        <v>586</v>
      </c>
      <c r="G137" s="301"/>
      <c r="H137" s="30">
        <f>+IF(ISBLANK(I137),0,VLOOKUP(I137,'8Příloha_2_ceník_pravid_úklid'!$B$9:$C$30,2,0))</f>
        <v>18</v>
      </c>
      <c r="I137" s="143" t="s">
        <v>16</v>
      </c>
      <c r="J137" s="145">
        <v>9.1300000000000008</v>
      </c>
      <c r="K137" s="275" t="s">
        <v>64</v>
      </c>
      <c r="L137" s="198" t="s">
        <v>587</v>
      </c>
      <c r="M137" s="22" t="s">
        <v>49</v>
      </c>
      <c r="N137" s="19">
        <f>IF((VLOOKUP(I137,'8Příloha_2_ceník_pravid_úklid'!$B$9:$I$30,8,0))=0,VLOOKUP(I137,'8Příloha_2_ceník_pravid_úklid'!$B$9:$K$30,10,0),VLOOKUP(I137,'8Příloha_2_ceník_pravid_úklid'!$B$9:$I$30,8,0))</f>
        <v>0</v>
      </c>
      <c r="O137" s="20">
        <v>1</v>
      </c>
      <c r="P137" s="318">
        <f>1/21</f>
        <v>4.7619047619047616E-2</v>
      </c>
      <c r="Q137" s="20">
        <v>0</v>
      </c>
      <c r="R137" s="20">
        <v>0</v>
      </c>
      <c r="S137" s="21">
        <f>NETWORKDAYS.INTL(DATE(2018,1,1),DATE(2018,12,31),1,{"2018/1/1";"2018/3/30";"2018/4/2";"2018/5/1";"2018/5/8";"2018/7/5";"2018/7/6";"2018/09/28";"2018/11/17";"2018/12/24";"2018/12/25";"2018/12/26"})</f>
        <v>250</v>
      </c>
      <c r="T137" s="21">
        <f t="shared" si="14"/>
        <v>115</v>
      </c>
      <c r="U137" s="21">
        <f t="shared" si="15"/>
        <v>365</v>
      </c>
      <c r="V137" s="311">
        <f t="shared" si="16"/>
        <v>11.9</v>
      </c>
      <c r="W137" s="308">
        <f t="shared" si="17"/>
        <v>0</v>
      </c>
      <c r="X137" s="583">
        <f t="shared" si="18"/>
        <v>0</v>
      </c>
      <c r="Y137" s="189">
        <v>0</v>
      </c>
    </row>
    <row r="138" spans="1:25" ht="15" x14ac:dyDescent="0.2">
      <c r="A138" s="138" t="s">
        <v>527</v>
      </c>
      <c r="B138" s="142" t="s">
        <v>611</v>
      </c>
      <c r="C138" s="142" t="s">
        <v>129</v>
      </c>
      <c r="D138" s="506">
        <f>VLOOKUP(C138,'Seznam HS - nemaš'!$A$1:$B$96,2,FALSE)</f>
        <v>401100</v>
      </c>
      <c r="E138" s="243">
        <v>334</v>
      </c>
      <c r="F138" s="301" t="s">
        <v>437</v>
      </c>
      <c r="G138" s="301" t="s">
        <v>627</v>
      </c>
      <c r="H138" s="30">
        <f>+IF(ISBLANK(I138),0,VLOOKUP(I138,'8Příloha_2_ceník_pravid_úklid'!$B$9:$C$30,2,0))</f>
        <v>7</v>
      </c>
      <c r="I138" s="143" t="s">
        <v>14</v>
      </c>
      <c r="J138" s="145">
        <v>2.02</v>
      </c>
      <c r="K138" s="275" t="s">
        <v>64</v>
      </c>
      <c r="L138" s="198" t="s">
        <v>647</v>
      </c>
      <c r="M138" s="22" t="s">
        <v>49</v>
      </c>
      <c r="N138" s="19">
        <f>IF((VLOOKUP(I138,'8Příloha_2_ceník_pravid_úklid'!$B$9:$I$30,8,0))=0,VLOOKUP(I138,'8Příloha_2_ceník_pravid_úklid'!$B$9:$K$30,10,0),VLOOKUP(I138,'8Příloha_2_ceník_pravid_úklid'!$B$9:$I$30,8,0))</f>
        <v>0</v>
      </c>
      <c r="O138" s="20">
        <v>1</v>
      </c>
      <c r="P138" s="20">
        <v>1</v>
      </c>
      <c r="Q138" s="20">
        <v>1</v>
      </c>
      <c r="R138" s="20">
        <v>1</v>
      </c>
      <c r="S138" s="21">
        <f>NETWORKDAYS.INTL(DATE(2018,1,1),DATE(2018,12,31),1,{"2018/1/1";"2018/3/30";"2018/4/2";"2018/5/1";"2018/5/8";"2018/7/5";"2018/7/6";"2018/09/28";"2018/11/17";"2018/12/24";"2018/12/25";"2018/12/26"})</f>
        <v>250</v>
      </c>
      <c r="T138" s="21">
        <f t="shared" si="14"/>
        <v>115</v>
      </c>
      <c r="U138" s="21">
        <f t="shared" si="15"/>
        <v>365</v>
      </c>
      <c r="V138" s="311">
        <f t="shared" si="16"/>
        <v>365</v>
      </c>
      <c r="W138" s="308">
        <f t="shared" si="17"/>
        <v>0</v>
      </c>
      <c r="X138" s="583">
        <f t="shared" si="18"/>
        <v>0</v>
      </c>
      <c r="Y138" s="189">
        <v>0</v>
      </c>
    </row>
    <row r="139" spans="1:25" ht="15" x14ac:dyDescent="0.2">
      <c r="A139" s="138" t="s">
        <v>527</v>
      </c>
      <c r="B139" s="142" t="s">
        <v>611</v>
      </c>
      <c r="C139" s="142" t="s">
        <v>129</v>
      </c>
      <c r="D139" s="506">
        <f>VLOOKUP(C139,'Seznam HS - nemaš'!$A$1:$B$96,2,FALSE)</f>
        <v>401100</v>
      </c>
      <c r="E139" s="243">
        <v>335</v>
      </c>
      <c r="F139" s="301" t="s">
        <v>437</v>
      </c>
      <c r="G139" s="301" t="s">
        <v>442</v>
      </c>
      <c r="H139" s="30">
        <f>+IF(ISBLANK(I139),0,VLOOKUP(I139,'8Příloha_2_ceník_pravid_úklid'!$B$9:$C$30,2,0))</f>
        <v>7</v>
      </c>
      <c r="I139" s="143" t="s">
        <v>14</v>
      </c>
      <c r="J139" s="145">
        <v>1.1000000000000001</v>
      </c>
      <c r="K139" s="275" t="s">
        <v>64</v>
      </c>
      <c r="L139" s="198" t="s">
        <v>647</v>
      </c>
      <c r="M139" s="22" t="s">
        <v>49</v>
      </c>
      <c r="N139" s="19">
        <f>IF((VLOOKUP(I139,'8Příloha_2_ceník_pravid_úklid'!$B$9:$I$30,8,0))=0,VLOOKUP(I139,'8Příloha_2_ceník_pravid_úklid'!$B$9:$K$30,10,0),VLOOKUP(I139,'8Příloha_2_ceník_pravid_úklid'!$B$9:$I$30,8,0))</f>
        <v>0</v>
      </c>
      <c r="O139" s="20">
        <v>1</v>
      </c>
      <c r="P139" s="20">
        <v>1</v>
      </c>
      <c r="Q139" s="20">
        <v>1</v>
      </c>
      <c r="R139" s="20">
        <v>1</v>
      </c>
      <c r="S139" s="21">
        <f>NETWORKDAYS.INTL(DATE(2018,1,1),DATE(2018,12,31),1,{"2018/1/1";"2018/3/30";"2018/4/2";"2018/5/1";"2018/5/8";"2018/7/5";"2018/7/6";"2018/09/28";"2018/11/17";"2018/12/24";"2018/12/25";"2018/12/26"})</f>
        <v>250</v>
      </c>
      <c r="T139" s="21">
        <f t="shared" si="14"/>
        <v>115</v>
      </c>
      <c r="U139" s="21">
        <f t="shared" si="15"/>
        <v>365</v>
      </c>
      <c r="V139" s="311">
        <f t="shared" si="16"/>
        <v>365</v>
      </c>
      <c r="W139" s="308">
        <f t="shared" si="17"/>
        <v>0</v>
      </c>
      <c r="X139" s="583">
        <f t="shared" si="18"/>
        <v>0</v>
      </c>
      <c r="Y139" s="189">
        <v>0</v>
      </c>
    </row>
    <row r="140" spans="1:25" ht="15" x14ac:dyDescent="0.2">
      <c r="A140" s="138" t="s">
        <v>527</v>
      </c>
      <c r="B140" s="142" t="s">
        <v>611</v>
      </c>
      <c r="C140" s="142" t="s">
        <v>129</v>
      </c>
      <c r="D140" s="506">
        <f>VLOOKUP(C140,'Seznam HS - nemaš'!$A$1:$B$96,2,FALSE)</f>
        <v>401100</v>
      </c>
      <c r="E140" s="243">
        <v>336</v>
      </c>
      <c r="F140" s="301" t="s">
        <v>561</v>
      </c>
      <c r="G140" s="301" t="s">
        <v>540</v>
      </c>
      <c r="H140" s="30">
        <f>+IF(ISBLANK(I140),0,VLOOKUP(I140,'8Příloha_2_ceník_pravid_úklid'!$B$9:$C$30,2,0))</f>
        <v>7</v>
      </c>
      <c r="I140" s="143" t="s">
        <v>14</v>
      </c>
      <c r="J140" s="145">
        <v>10.82</v>
      </c>
      <c r="K140" s="275" t="s">
        <v>50</v>
      </c>
      <c r="L140" s="198" t="s">
        <v>559</v>
      </c>
      <c r="M140" s="22" t="s">
        <v>49</v>
      </c>
      <c r="N140" s="19">
        <f>IF((VLOOKUP(I140,'8Příloha_2_ceník_pravid_úklid'!$B$9:$I$30,8,0))=0,VLOOKUP(I140,'8Příloha_2_ceník_pravid_úklid'!$B$9:$K$30,10,0),VLOOKUP(I140,'8Příloha_2_ceník_pravid_úklid'!$B$9:$I$30,8,0))</f>
        <v>0</v>
      </c>
      <c r="O140" s="20">
        <v>3</v>
      </c>
      <c r="P140" s="20">
        <v>1</v>
      </c>
      <c r="Q140" s="20">
        <v>3</v>
      </c>
      <c r="R140" s="20">
        <v>1</v>
      </c>
      <c r="S140" s="21">
        <f>NETWORKDAYS.INTL(DATE(2018,1,1),DATE(2018,12,31),1,{"2018/1/1";"2018/3/30";"2018/4/2";"2018/5/1";"2018/5/8";"2018/7/5";"2018/7/6";"2018/09/28";"2018/11/17";"2018/12/24";"2018/12/25";"2018/12/26"})</f>
        <v>250</v>
      </c>
      <c r="T140" s="21">
        <f t="shared" si="14"/>
        <v>115</v>
      </c>
      <c r="U140" s="21">
        <f t="shared" si="15"/>
        <v>365</v>
      </c>
      <c r="V140" s="311">
        <f t="shared" si="16"/>
        <v>1095</v>
      </c>
      <c r="W140" s="308">
        <f t="shared" si="17"/>
        <v>0</v>
      </c>
      <c r="X140" s="583">
        <f t="shared" si="18"/>
        <v>0</v>
      </c>
      <c r="Y140" s="189">
        <v>0</v>
      </c>
    </row>
    <row r="141" spans="1:25" ht="15" x14ac:dyDescent="0.2">
      <c r="A141" s="138" t="s">
        <v>527</v>
      </c>
      <c r="B141" s="142" t="s">
        <v>611</v>
      </c>
      <c r="C141" s="142" t="s">
        <v>129</v>
      </c>
      <c r="D141" s="506">
        <f>VLOOKUP(C141,'Seznam HS - nemaš'!$A$1:$B$96,2,FALSE)</f>
        <v>401100</v>
      </c>
      <c r="E141" s="243">
        <v>337</v>
      </c>
      <c r="F141" s="301" t="s">
        <v>567</v>
      </c>
      <c r="G141" s="301"/>
      <c r="H141" s="30">
        <f>+IF(ISBLANK(I141),0,VLOOKUP(I141,'8Příloha_2_ceník_pravid_úklid'!$B$9:$C$30,2,0))</f>
        <v>1</v>
      </c>
      <c r="I141" s="143" t="s">
        <v>78</v>
      </c>
      <c r="J141" s="145">
        <v>23.25</v>
      </c>
      <c r="K141" s="275" t="s">
        <v>51</v>
      </c>
      <c r="L141" s="156" t="s">
        <v>537</v>
      </c>
      <c r="M141" s="22" t="s">
        <v>49</v>
      </c>
      <c r="N141" s="19">
        <f>IF((VLOOKUP(I141,'8Příloha_2_ceník_pravid_úklid'!$B$9:$I$30,8,0))=0,VLOOKUP(I141,'8Příloha_2_ceník_pravid_úklid'!$B$9:$K$30,10,0),VLOOKUP(I141,'8Příloha_2_ceník_pravid_úklid'!$B$9:$I$30,8,0))</f>
        <v>0</v>
      </c>
      <c r="O141" s="20">
        <v>1</v>
      </c>
      <c r="P141" s="20">
        <v>1</v>
      </c>
      <c r="Q141" s="20">
        <v>1</v>
      </c>
      <c r="R141" s="20">
        <v>1</v>
      </c>
      <c r="S141" s="21">
        <f>NETWORKDAYS.INTL(DATE(2018,1,1),DATE(2018,12,31),1,{"2018/1/1";"2018/3/30";"2018/4/2";"2018/5/1";"2018/5/8";"2018/7/5";"2018/7/6";"2018/09/28";"2018/11/17";"2018/12/24";"2018/12/25";"2018/12/26"})</f>
        <v>250</v>
      </c>
      <c r="T141" s="21">
        <f t="shared" si="14"/>
        <v>115</v>
      </c>
      <c r="U141" s="21">
        <f t="shared" si="15"/>
        <v>365</v>
      </c>
      <c r="V141" s="311">
        <f t="shared" si="16"/>
        <v>365</v>
      </c>
      <c r="W141" s="308">
        <f t="shared" si="17"/>
        <v>0</v>
      </c>
      <c r="X141" s="583">
        <f t="shared" si="18"/>
        <v>0</v>
      </c>
      <c r="Y141" s="189">
        <v>0</v>
      </c>
    </row>
    <row r="142" spans="1:25" ht="15" x14ac:dyDescent="0.2">
      <c r="A142" s="138" t="s">
        <v>527</v>
      </c>
      <c r="B142" s="142" t="s">
        <v>611</v>
      </c>
      <c r="C142" s="142" t="s">
        <v>129</v>
      </c>
      <c r="D142" s="506">
        <f>VLOOKUP(C142,'Seznam HS - nemaš'!$A$1:$B$96,2,FALSE)</f>
        <v>401100</v>
      </c>
      <c r="E142" s="243">
        <v>338</v>
      </c>
      <c r="F142" s="301" t="s">
        <v>608</v>
      </c>
      <c r="G142" s="301" t="s">
        <v>540</v>
      </c>
      <c r="H142" s="30">
        <f>+IF(ISBLANK(I142),0,VLOOKUP(I142,'8Příloha_2_ceník_pravid_úklid'!$B$9:$C$30,2,0))</f>
        <v>2</v>
      </c>
      <c r="I142" s="143" t="s">
        <v>2</v>
      </c>
      <c r="J142" s="145">
        <v>9.75</v>
      </c>
      <c r="K142" s="275" t="s">
        <v>51</v>
      </c>
      <c r="L142" s="156" t="s">
        <v>22</v>
      </c>
      <c r="M142" s="22" t="s">
        <v>49</v>
      </c>
      <c r="N142" s="19">
        <f>IF((VLOOKUP(I142,'8Příloha_2_ceník_pravid_úklid'!$B$9:$I$30,8,0))=0,VLOOKUP(I142,'8Příloha_2_ceník_pravid_úklid'!$B$9:$K$30,10,0),VLOOKUP(I142,'8Příloha_2_ceník_pravid_úklid'!$B$9:$I$30,8,0))</f>
        <v>0</v>
      </c>
      <c r="O142" s="20">
        <v>2</v>
      </c>
      <c r="P142" s="20">
        <v>1</v>
      </c>
      <c r="Q142" s="20">
        <v>2</v>
      </c>
      <c r="R142" s="20">
        <v>1</v>
      </c>
      <c r="S142" s="21">
        <f>NETWORKDAYS.INTL(DATE(2018,1,1),DATE(2018,12,31),1,{"2018/1/1";"2018/3/30";"2018/4/2";"2018/5/1";"2018/5/8";"2018/7/5";"2018/7/6";"2018/09/28";"2018/11/17";"2018/12/24";"2018/12/25";"2018/12/26"})</f>
        <v>250</v>
      </c>
      <c r="T142" s="21">
        <f t="shared" si="14"/>
        <v>115</v>
      </c>
      <c r="U142" s="21">
        <f t="shared" si="15"/>
        <v>365</v>
      </c>
      <c r="V142" s="311">
        <f t="shared" si="16"/>
        <v>730</v>
      </c>
      <c r="W142" s="308">
        <f t="shared" si="17"/>
        <v>0</v>
      </c>
      <c r="X142" s="583">
        <f t="shared" si="18"/>
        <v>0</v>
      </c>
      <c r="Y142" s="189">
        <v>0</v>
      </c>
    </row>
    <row r="143" spans="1:25" ht="15" x14ac:dyDescent="0.2">
      <c r="A143" s="171" t="s">
        <v>527</v>
      </c>
      <c r="B143" s="148" t="s">
        <v>611</v>
      </c>
      <c r="C143" s="148" t="s">
        <v>129</v>
      </c>
      <c r="D143" s="139">
        <f>VLOOKUP(C143,'Seznam HS - nemaš'!$A$1:$B$96,2,FALSE)</f>
        <v>401100</v>
      </c>
      <c r="E143" s="282">
        <v>339</v>
      </c>
      <c r="F143" s="595" t="s">
        <v>626</v>
      </c>
      <c r="G143" s="595"/>
      <c r="H143" s="28">
        <f>+IF(ISBLANK(I143),0,VLOOKUP(I143,'8Příloha_2_ceník_pravid_úklid'!$B$9:$C$30,2,0))</f>
        <v>4</v>
      </c>
      <c r="I143" s="149" t="s">
        <v>9</v>
      </c>
      <c r="J143" s="172">
        <v>8.19</v>
      </c>
      <c r="K143" s="285" t="s">
        <v>51</v>
      </c>
      <c r="L143" s="152" t="s">
        <v>647</v>
      </c>
      <c r="M143" s="29" t="s">
        <v>49</v>
      </c>
      <c r="N143" s="24">
        <f>IF((VLOOKUP(I143,'8Příloha_2_ceník_pravid_úklid'!$B$9:$I$30,8,0))=0,VLOOKUP(I143,'8Příloha_2_ceník_pravid_úklid'!$B$9:$K$30,10,0),VLOOKUP(I143,'8Příloha_2_ceník_pravid_úklid'!$B$9:$I$30,8,0))</f>
        <v>0</v>
      </c>
      <c r="O143" s="25">
        <v>1</v>
      </c>
      <c r="P143" s="25">
        <v>1</v>
      </c>
      <c r="Q143" s="25">
        <v>1</v>
      </c>
      <c r="R143" s="25">
        <v>1</v>
      </c>
      <c r="S143" s="26">
        <f>NETWORKDAYS.INTL(DATE(2018,1,1),DATE(2018,12,31),1,{"2018/1/1";"2018/3/30";"2018/4/2";"2018/5/1";"2018/5/8";"2018/7/5";"2018/7/6";"2018/09/28";"2018/11/17";"2018/12/24";"2018/12/25";"2018/12/26"})</f>
        <v>250</v>
      </c>
      <c r="T143" s="26">
        <f t="shared" si="14"/>
        <v>115</v>
      </c>
      <c r="U143" s="26">
        <f t="shared" si="15"/>
        <v>365</v>
      </c>
      <c r="V143" s="314">
        <f t="shared" si="16"/>
        <v>365</v>
      </c>
      <c r="W143" s="596">
        <f t="shared" si="17"/>
        <v>0</v>
      </c>
      <c r="X143" s="597">
        <f t="shared" si="18"/>
        <v>0</v>
      </c>
      <c r="Y143" s="591">
        <v>0</v>
      </c>
    </row>
    <row r="144" spans="1:25" ht="15" x14ac:dyDescent="0.2">
      <c r="A144" s="138" t="s">
        <v>527</v>
      </c>
      <c r="B144" s="142" t="s">
        <v>611</v>
      </c>
      <c r="C144" s="142" t="s">
        <v>129</v>
      </c>
      <c r="D144" s="506">
        <f>VLOOKUP(C144,'Seznam HS - nemaš'!$A$1:$B$96,2,FALSE)</f>
        <v>401100</v>
      </c>
      <c r="E144" s="243">
        <v>340</v>
      </c>
      <c r="F144" s="301" t="s">
        <v>446</v>
      </c>
      <c r="G144" s="301" t="s">
        <v>563</v>
      </c>
      <c r="H144" s="30">
        <f>+IF(ISBLANK(I144),0,VLOOKUP(I144,'8Příloha_2_ceník_pravid_úklid'!$B$9:$C$30,2,0))</f>
        <v>7</v>
      </c>
      <c r="I144" s="143" t="s">
        <v>14</v>
      </c>
      <c r="J144" s="145">
        <v>4.13</v>
      </c>
      <c r="K144" s="275" t="s">
        <v>50</v>
      </c>
      <c r="L144" s="156" t="s">
        <v>559</v>
      </c>
      <c r="M144" s="22" t="s">
        <v>49</v>
      </c>
      <c r="N144" s="19">
        <f>IF((VLOOKUP(I144,'8Příloha_2_ceník_pravid_úklid'!$B$9:$I$30,8,0))=0,VLOOKUP(I144,'8Příloha_2_ceník_pravid_úklid'!$B$9:$K$30,10,0),VLOOKUP(I144,'8Příloha_2_ceník_pravid_úklid'!$B$9:$I$30,8,0))</f>
        <v>0</v>
      </c>
      <c r="O144" s="20">
        <v>3</v>
      </c>
      <c r="P144" s="20">
        <v>1</v>
      </c>
      <c r="Q144" s="20">
        <v>3</v>
      </c>
      <c r="R144" s="20">
        <v>1</v>
      </c>
      <c r="S144" s="21">
        <f>NETWORKDAYS.INTL(DATE(2018,1,1),DATE(2018,12,31),1,{"2018/1/1";"2018/3/30";"2018/4/2";"2018/5/1";"2018/5/8";"2018/7/5";"2018/7/6";"2018/09/28";"2018/11/17";"2018/12/24";"2018/12/25";"2018/12/26"})</f>
        <v>250</v>
      </c>
      <c r="T144" s="21">
        <f t="shared" si="14"/>
        <v>115</v>
      </c>
      <c r="U144" s="21">
        <f t="shared" si="15"/>
        <v>365</v>
      </c>
      <c r="V144" s="311">
        <f t="shared" si="16"/>
        <v>1095</v>
      </c>
      <c r="W144" s="308">
        <f t="shared" si="17"/>
        <v>0</v>
      </c>
      <c r="X144" s="583">
        <f t="shared" si="18"/>
        <v>0</v>
      </c>
      <c r="Y144" s="189">
        <v>0</v>
      </c>
    </row>
    <row r="145" spans="1:25" ht="15" x14ac:dyDescent="0.2">
      <c r="A145" s="138" t="s">
        <v>527</v>
      </c>
      <c r="B145" s="142" t="s">
        <v>611</v>
      </c>
      <c r="C145" s="142" t="s">
        <v>129</v>
      </c>
      <c r="D145" s="506">
        <f>VLOOKUP(C145,'Seznam HS - nemaš'!$A$1:$B$96,2,FALSE)</f>
        <v>401100</v>
      </c>
      <c r="E145" s="243">
        <v>341</v>
      </c>
      <c r="F145" s="301" t="s">
        <v>437</v>
      </c>
      <c r="G145" s="301" t="s">
        <v>594</v>
      </c>
      <c r="H145" s="30">
        <f>+IF(ISBLANK(I145),0,VLOOKUP(I145,'8Příloha_2_ceník_pravid_úklid'!$B$9:$C$30,2,0))</f>
        <v>7</v>
      </c>
      <c r="I145" s="143" t="s">
        <v>14</v>
      </c>
      <c r="J145" s="145">
        <v>4.13</v>
      </c>
      <c r="K145" s="275" t="s">
        <v>50</v>
      </c>
      <c r="L145" s="156" t="s">
        <v>559</v>
      </c>
      <c r="M145" s="22" t="s">
        <v>49</v>
      </c>
      <c r="N145" s="19">
        <f>IF((VLOOKUP(I145,'8Příloha_2_ceník_pravid_úklid'!$B$9:$I$30,8,0))=0,VLOOKUP(I145,'8Příloha_2_ceník_pravid_úklid'!$B$9:$K$30,10,0),VLOOKUP(I145,'8Příloha_2_ceník_pravid_úklid'!$B$9:$I$30,8,0))</f>
        <v>0</v>
      </c>
      <c r="O145" s="20">
        <v>3</v>
      </c>
      <c r="P145" s="20">
        <v>1</v>
      </c>
      <c r="Q145" s="20">
        <v>3</v>
      </c>
      <c r="R145" s="20">
        <v>1</v>
      </c>
      <c r="S145" s="21">
        <f>NETWORKDAYS.INTL(DATE(2018,1,1),DATE(2018,12,31),1,{"2018/1/1";"2018/3/30";"2018/4/2";"2018/5/1";"2018/5/8";"2018/7/5";"2018/7/6";"2018/09/28";"2018/11/17";"2018/12/24";"2018/12/25";"2018/12/26"})</f>
        <v>250</v>
      </c>
      <c r="T145" s="21">
        <f t="shared" si="14"/>
        <v>115</v>
      </c>
      <c r="U145" s="21">
        <f t="shared" si="15"/>
        <v>365</v>
      </c>
      <c r="V145" s="311">
        <f t="shared" si="16"/>
        <v>1095</v>
      </c>
      <c r="W145" s="308">
        <f t="shared" si="17"/>
        <v>0</v>
      </c>
      <c r="X145" s="583">
        <f t="shared" si="18"/>
        <v>0</v>
      </c>
      <c r="Y145" s="189">
        <v>0</v>
      </c>
    </row>
    <row r="146" spans="1:25" ht="23.25" customHeight="1" x14ac:dyDescent="0.2">
      <c r="A146" s="138" t="s">
        <v>527</v>
      </c>
      <c r="B146" s="142" t="s">
        <v>611</v>
      </c>
      <c r="C146" s="142" t="s">
        <v>129</v>
      </c>
      <c r="D146" s="506">
        <f>VLOOKUP(C146,'Seznam HS - nemaš'!$A$1:$B$96,2,FALSE)</f>
        <v>401100</v>
      </c>
      <c r="E146" s="243" t="s">
        <v>1736</v>
      </c>
      <c r="F146" s="301" t="s">
        <v>437</v>
      </c>
      <c r="G146" s="301" t="s">
        <v>540</v>
      </c>
      <c r="H146" s="30">
        <f>+IF(ISBLANK(I146),0,VLOOKUP(I146,'8Příloha_2_ceník_pravid_úklid'!$B$9:$C$30,2,0))</f>
        <v>7</v>
      </c>
      <c r="I146" s="143" t="s">
        <v>14</v>
      </c>
      <c r="J146" s="145">
        <v>1.26</v>
      </c>
      <c r="K146" s="275" t="s">
        <v>50</v>
      </c>
      <c r="L146" s="156" t="s">
        <v>559</v>
      </c>
      <c r="M146" s="22" t="s">
        <v>49</v>
      </c>
      <c r="N146" s="19">
        <f>IF((VLOOKUP(I146,'8Příloha_2_ceník_pravid_úklid'!$B$9:$I$30,8,0))=0,VLOOKUP(I146,'8Příloha_2_ceník_pravid_úklid'!$B$9:$K$30,10,0),VLOOKUP(I146,'8Příloha_2_ceník_pravid_úklid'!$B$9:$I$30,8,0))</f>
        <v>0</v>
      </c>
      <c r="O146" s="20">
        <v>3</v>
      </c>
      <c r="P146" s="20">
        <v>1</v>
      </c>
      <c r="Q146" s="20">
        <v>3</v>
      </c>
      <c r="R146" s="20">
        <v>1</v>
      </c>
      <c r="S146" s="21">
        <f>NETWORKDAYS.INTL(DATE(2018,1,1),DATE(2018,12,31),1,{"2018/1/1";"2018/3/30";"2018/4/2";"2018/5/1";"2018/5/8";"2018/7/5";"2018/7/6";"2018/09/28";"2018/11/17";"2018/12/24";"2018/12/25";"2018/12/26"})</f>
        <v>250</v>
      </c>
      <c r="T146" s="21">
        <f t="shared" si="14"/>
        <v>115</v>
      </c>
      <c r="U146" s="21">
        <f t="shared" si="15"/>
        <v>365</v>
      </c>
      <c r="V146" s="311">
        <f t="shared" si="16"/>
        <v>1095</v>
      </c>
      <c r="W146" s="308">
        <f t="shared" si="17"/>
        <v>0</v>
      </c>
      <c r="X146" s="583">
        <f t="shared" si="18"/>
        <v>0</v>
      </c>
      <c r="Y146" s="189">
        <v>0</v>
      </c>
    </row>
    <row r="147" spans="1:25" ht="15" x14ac:dyDescent="0.2">
      <c r="A147" s="138" t="s">
        <v>527</v>
      </c>
      <c r="B147" s="142" t="s">
        <v>611</v>
      </c>
      <c r="C147" s="142" t="s">
        <v>129</v>
      </c>
      <c r="D147" s="506">
        <f>VLOOKUP(C147,'Seznam HS - nemaš'!$A$1:$B$96,2,FALSE)</f>
        <v>401100</v>
      </c>
      <c r="E147" s="243" t="s">
        <v>1737</v>
      </c>
      <c r="F147" s="301" t="s">
        <v>437</v>
      </c>
      <c r="G147" s="301" t="s">
        <v>540</v>
      </c>
      <c r="H147" s="30">
        <f>+IF(ISBLANK(I147),0,VLOOKUP(I147,'8Příloha_2_ceník_pravid_úklid'!$B$9:$C$30,2,0))</f>
        <v>7</v>
      </c>
      <c r="I147" s="143" t="s">
        <v>14</v>
      </c>
      <c r="J147" s="145">
        <v>1.08</v>
      </c>
      <c r="K147" s="275" t="s">
        <v>50</v>
      </c>
      <c r="L147" s="156" t="s">
        <v>559</v>
      </c>
      <c r="M147" s="22" t="s">
        <v>49</v>
      </c>
      <c r="N147" s="19">
        <f>IF((VLOOKUP(I147,'8Příloha_2_ceník_pravid_úklid'!$B$9:$I$30,8,0))=0,VLOOKUP(I147,'8Příloha_2_ceník_pravid_úklid'!$B$9:$K$30,10,0),VLOOKUP(I147,'8Příloha_2_ceník_pravid_úklid'!$B$9:$I$30,8,0))</f>
        <v>0</v>
      </c>
      <c r="O147" s="20">
        <v>3</v>
      </c>
      <c r="P147" s="20">
        <v>1</v>
      </c>
      <c r="Q147" s="20">
        <v>3</v>
      </c>
      <c r="R147" s="20">
        <v>1</v>
      </c>
      <c r="S147" s="21">
        <f>NETWORKDAYS.INTL(DATE(2018,1,1),DATE(2018,12,31),1,{"2018/1/1";"2018/3/30";"2018/4/2";"2018/5/1";"2018/5/8";"2018/7/5";"2018/7/6";"2018/09/28";"2018/11/17";"2018/12/24";"2018/12/25";"2018/12/26"})</f>
        <v>250</v>
      </c>
      <c r="T147" s="21">
        <f t="shared" si="14"/>
        <v>115</v>
      </c>
      <c r="U147" s="21">
        <f t="shared" si="15"/>
        <v>365</v>
      </c>
      <c r="V147" s="311">
        <f t="shared" si="16"/>
        <v>1095</v>
      </c>
      <c r="W147" s="308">
        <f t="shared" si="17"/>
        <v>0</v>
      </c>
      <c r="X147" s="583">
        <f t="shared" si="18"/>
        <v>0</v>
      </c>
      <c r="Y147" s="189">
        <v>0</v>
      </c>
    </row>
    <row r="148" spans="1:25" ht="15" x14ac:dyDescent="0.2">
      <c r="A148" s="138" t="s">
        <v>527</v>
      </c>
      <c r="B148" s="142" t="s">
        <v>611</v>
      </c>
      <c r="C148" s="142" t="s">
        <v>129</v>
      </c>
      <c r="D148" s="506">
        <f>VLOOKUP(C148,'Seznam HS - nemaš'!$A$1:$B$96,2,FALSE)</f>
        <v>401100</v>
      </c>
      <c r="E148" s="243" t="s">
        <v>1738</v>
      </c>
      <c r="F148" s="301" t="s">
        <v>437</v>
      </c>
      <c r="G148" s="301" t="s">
        <v>540</v>
      </c>
      <c r="H148" s="30">
        <f>+IF(ISBLANK(I148),0,VLOOKUP(I148,'8Příloha_2_ceník_pravid_úklid'!$B$9:$C$30,2,0))</f>
        <v>7</v>
      </c>
      <c r="I148" s="143" t="s">
        <v>14</v>
      </c>
      <c r="J148" s="145">
        <v>1.05</v>
      </c>
      <c r="K148" s="275" t="s">
        <v>50</v>
      </c>
      <c r="L148" s="156" t="s">
        <v>559</v>
      </c>
      <c r="M148" s="22" t="s">
        <v>49</v>
      </c>
      <c r="N148" s="19">
        <f>IF((VLOOKUP(I148,'8Příloha_2_ceník_pravid_úklid'!$B$9:$I$30,8,0))=0,VLOOKUP(I148,'8Příloha_2_ceník_pravid_úklid'!$B$9:$K$30,10,0),VLOOKUP(I148,'8Příloha_2_ceník_pravid_úklid'!$B$9:$I$30,8,0))</f>
        <v>0</v>
      </c>
      <c r="O148" s="20">
        <v>3</v>
      </c>
      <c r="P148" s="20">
        <v>1</v>
      </c>
      <c r="Q148" s="20">
        <v>3</v>
      </c>
      <c r="R148" s="20">
        <v>1</v>
      </c>
      <c r="S148" s="21">
        <f>NETWORKDAYS.INTL(DATE(2018,1,1),DATE(2018,12,31),1,{"2018/1/1";"2018/3/30";"2018/4/2";"2018/5/1";"2018/5/8";"2018/7/5";"2018/7/6";"2018/09/28";"2018/11/17";"2018/12/24";"2018/12/25";"2018/12/26"})</f>
        <v>250</v>
      </c>
      <c r="T148" s="21">
        <f t="shared" si="14"/>
        <v>115</v>
      </c>
      <c r="U148" s="21">
        <f t="shared" si="15"/>
        <v>365</v>
      </c>
      <c r="V148" s="311">
        <f t="shared" si="16"/>
        <v>1095</v>
      </c>
      <c r="W148" s="308">
        <f t="shared" si="17"/>
        <v>0</v>
      </c>
      <c r="X148" s="583">
        <f t="shared" si="18"/>
        <v>0</v>
      </c>
      <c r="Y148" s="189">
        <v>0</v>
      </c>
    </row>
    <row r="149" spans="1:25" ht="15" x14ac:dyDescent="0.2">
      <c r="A149" s="138" t="s">
        <v>527</v>
      </c>
      <c r="B149" s="142" t="s">
        <v>611</v>
      </c>
      <c r="C149" s="142" t="s">
        <v>129</v>
      </c>
      <c r="D149" s="506">
        <f>VLOOKUP(C149,'Seznam HS - nemaš'!$A$1:$B$96,2,FALSE)</f>
        <v>401100</v>
      </c>
      <c r="E149" s="243">
        <v>342</v>
      </c>
      <c r="F149" s="301" t="s">
        <v>492</v>
      </c>
      <c r="G149" s="301"/>
      <c r="H149" s="30">
        <f>+IF(ISBLANK(I149),0,VLOOKUP(I149,'8Příloha_2_ceník_pravid_úklid'!$B$9:$C$30,2,0))</f>
        <v>4</v>
      </c>
      <c r="I149" s="143" t="s">
        <v>9</v>
      </c>
      <c r="J149" s="145">
        <v>8.6999999999999993</v>
      </c>
      <c r="K149" s="275" t="s">
        <v>51</v>
      </c>
      <c r="L149" s="315" t="s">
        <v>22</v>
      </c>
      <c r="M149" s="22" t="s">
        <v>49</v>
      </c>
      <c r="N149" s="19">
        <f>IF((VLOOKUP(I149,'8Příloha_2_ceník_pravid_úklid'!$B$9:$I$30,8,0))=0,VLOOKUP(I149,'8Příloha_2_ceník_pravid_úklid'!$B$9:$K$30,10,0),VLOOKUP(I149,'8Příloha_2_ceník_pravid_úklid'!$B$9:$I$30,8,0))</f>
        <v>0</v>
      </c>
      <c r="O149" s="20">
        <v>2</v>
      </c>
      <c r="P149" s="20">
        <v>1</v>
      </c>
      <c r="Q149" s="20">
        <v>2</v>
      </c>
      <c r="R149" s="20">
        <v>1</v>
      </c>
      <c r="S149" s="21">
        <f>NETWORKDAYS.INTL(DATE(2018,1,1),DATE(2018,12,31),1,{"2018/1/1";"2018/3/30";"2018/4/2";"2018/5/1";"2018/5/8";"2018/7/5";"2018/7/6";"2018/09/28";"2018/11/17";"2018/12/24";"2018/12/25";"2018/12/26"})</f>
        <v>250</v>
      </c>
      <c r="T149" s="21">
        <f t="shared" si="14"/>
        <v>115</v>
      </c>
      <c r="U149" s="21">
        <f t="shared" si="15"/>
        <v>365</v>
      </c>
      <c r="V149" s="311">
        <f t="shared" si="16"/>
        <v>730</v>
      </c>
      <c r="W149" s="308">
        <f t="shared" si="17"/>
        <v>0</v>
      </c>
      <c r="X149" s="583">
        <f t="shared" si="18"/>
        <v>0</v>
      </c>
      <c r="Y149" s="189">
        <v>0</v>
      </c>
    </row>
    <row r="150" spans="1:25" ht="15" x14ac:dyDescent="0.2">
      <c r="A150" s="138" t="s">
        <v>527</v>
      </c>
      <c r="B150" s="142" t="s">
        <v>611</v>
      </c>
      <c r="C150" s="142" t="s">
        <v>129</v>
      </c>
      <c r="D150" s="506">
        <f>VLOOKUP(C150,'Seznam HS - nemaš'!$A$1:$B$96,2,FALSE)</f>
        <v>401100</v>
      </c>
      <c r="E150" s="243">
        <v>343</v>
      </c>
      <c r="F150" s="301" t="s">
        <v>608</v>
      </c>
      <c r="G150" s="301" t="s">
        <v>539</v>
      </c>
      <c r="H150" s="30">
        <f>+IF(ISBLANK(I150),0,VLOOKUP(I150,'8Příloha_2_ceník_pravid_úklid'!$B$9:$C$30,2,0))</f>
        <v>2</v>
      </c>
      <c r="I150" s="143" t="s">
        <v>2</v>
      </c>
      <c r="J150" s="145">
        <v>20.350000000000001</v>
      </c>
      <c r="K150" s="275" t="s">
        <v>51</v>
      </c>
      <c r="L150" s="156" t="s">
        <v>22</v>
      </c>
      <c r="M150" s="22" t="s">
        <v>49</v>
      </c>
      <c r="N150" s="19">
        <f>IF((VLOOKUP(I150,'8Příloha_2_ceník_pravid_úklid'!$B$9:$I$30,8,0))=0,VLOOKUP(I150,'8Příloha_2_ceník_pravid_úklid'!$B$9:$K$30,10,0),VLOOKUP(I150,'8Příloha_2_ceník_pravid_úklid'!$B$9:$I$30,8,0))</f>
        <v>0</v>
      </c>
      <c r="O150" s="20">
        <v>2</v>
      </c>
      <c r="P150" s="20">
        <v>1</v>
      </c>
      <c r="Q150" s="20">
        <v>2</v>
      </c>
      <c r="R150" s="20">
        <v>1</v>
      </c>
      <c r="S150" s="21">
        <f>NETWORKDAYS.INTL(DATE(2018,1,1),DATE(2018,12,31),1,{"2018/1/1";"2018/3/30";"2018/4/2";"2018/5/1";"2018/5/8";"2018/7/5";"2018/7/6";"2018/09/28";"2018/11/17";"2018/12/24";"2018/12/25";"2018/12/26"})</f>
        <v>250</v>
      </c>
      <c r="T150" s="21">
        <f t="shared" si="14"/>
        <v>115</v>
      </c>
      <c r="U150" s="21">
        <f t="shared" si="15"/>
        <v>365</v>
      </c>
      <c r="V150" s="311">
        <f t="shared" si="16"/>
        <v>730</v>
      </c>
      <c r="W150" s="308">
        <f t="shared" si="17"/>
        <v>0</v>
      </c>
      <c r="X150" s="583">
        <f t="shared" si="18"/>
        <v>0</v>
      </c>
      <c r="Y150" s="189">
        <v>0</v>
      </c>
    </row>
    <row r="151" spans="1:25" ht="15" x14ac:dyDescent="0.2">
      <c r="A151" s="138" t="s">
        <v>527</v>
      </c>
      <c r="B151" s="142" t="s">
        <v>611</v>
      </c>
      <c r="C151" s="142" t="s">
        <v>129</v>
      </c>
      <c r="D151" s="506">
        <f>VLOOKUP(C151,'Seznam HS - nemaš'!$A$1:$B$96,2,FALSE)</f>
        <v>401100</v>
      </c>
      <c r="E151" s="243">
        <v>344</v>
      </c>
      <c r="F151" s="301" t="s">
        <v>389</v>
      </c>
      <c r="G151" s="301"/>
      <c r="H151" s="30">
        <f>+IF(ISBLANK(I151),0,VLOOKUP(I151,'8Příloha_2_ceník_pravid_úklid'!$B$9:$C$30,2,0))</f>
        <v>17</v>
      </c>
      <c r="I151" s="143" t="s">
        <v>13</v>
      </c>
      <c r="J151" s="145">
        <v>1.1000000000000001</v>
      </c>
      <c r="K151" s="275" t="s">
        <v>64</v>
      </c>
      <c r="L151" s="198" t="s">
        <v>487</v>
      </c>
      <c r="M151" s="22" t="s">
        <v>49</v>
      </c>
      <c r="N151" s="19">
        <f>IF((VLOOKUP(I151,'8Příloha_2_ceník_pravid_úklid'!$B$9:$I$30,8,0))=0,VLOOKUP(I151,'8Příloha_2_ceník_pravid_úklid'!$B$9:$K$30,10,0),VLOOKUP(I151,'8Příloha_2_ceník_pravid_úklid'!$B$9:$I$30,8,0))</f>
        <v>0</v>
      </c>
      <c r="O151" s="20">
        <v>1</v>
      </c>
      <c r="P151" s="20">
        <f>1/5</f>
        <v>0.2</v>
      </c>
      <c r="Q151" s="20">
        <v>0</v>
      </c>
      <c r="R151" s="20">
        <v>0</v>
      </c>
      <c r="S151" s="21">
        <f>NETWORKDAYS.INTL(DATE(2018,1,1),DATE(2018,12,31),1,{"2018/1/1";"2018/3/30";"2018/4/2";"2018/5/1";"2018/5/8";"2018/7/5";"2018/7/6";"2018/09/28";"2018/11/17";"2018/12/24";"2018/12/25";"2018/12/26"})</f>
        <v>250</v>
      </c>
      <c r="T151" s="21">
        <f t="shared" si="14"/>
        <v>115</v>
      </c>
      <c r="U151" s="21">
        <f t="shared" si="15"/>
        <v>365</v>
      </c>
      <c r="V151" s="311">
        <f t="shared" si="16"/>
        <v>50</v>
      </c>
      <c r="W151" s="308">
        <f t="shared" si="17"/>
        <v>0</v>
      </c>
      <c r="X151" s="583">
        <f t="shared" si="18"/>
        <v>0</v>
      </c>
      <c r="Y151" s="189">
        <v>0</v>
      </c>
    </row>
    <row r="152" spans="1:25" ht="15" x14ac:dyDescent="0.2">
      <c r="A152" s="138" t="s">
        <v>628</v>
      </c>
      <c r="B152" s="142" t="s">
        <v>629</v>
      </c>
      <c r="C152" s="142"/>
      <c r="D152" s="506">
        <f>VLOOKUP(C152,'Seznam HS - nemaš'!$A$1:$B$96,2,FALSE)</f>
        <v>0</v>
      </c>
      <c r="E152" s="277" t="s">
        <v>1708</v>
      </c>
      <c r="F152" s="301" t="s">
        <v>53</v>
      </c>
      <c r="G152" s="301" t="s">
        <v>336</v>
      </c>
      <c r="H152" s="30">
        <f>+IF(ISBLANK(I152),0,VLOOKUP(I152,'8Příloha_2_ceník_pravid_úklid'!$B$9:$C$30,2,0))</f>
        <v>6</v>
      </c>
      <c r="I152" s="143" t="s">
        <v>1</v>
      </c>
      <c r="J152" s="145">
        <v>17.149999999999999</v>
      </c>
      <c r="K152" s="275" t="s">
        <v>50</v>
      </c>
      <c r="L152" s="156" t="s">
        <v>21</v>
      </c>
      <c r="M152" s="22" t="s">
        <v>49</v>
      </c>
      <c r="N152" s="19">
        <f>IF((VLOOKUP(I152,'8Příloha_2_ceník_pravid_úklid'!$B$9:$I$30,8,0))=0,VLOOKUP(I152,'8Příloha_2_ceník_pravid_úklid'!$B$9:$K$30,10,0),VLOOKUP(I152,'8Příloha_2_ceník_pravid_úklid'!$B$9:$I$30,8,0))</f>
        <v>0</v>
      </c>
      <c r="O152" s="20">
        <v>1</v>
      </c>
      <c r="P152" s="20">
        <v>1</v>
      </c>
      <c r="Q152" s="20">
        <v>0</v>
      </c>
      <c r="R152" s="20">
        <v>0</v>
      </c>
      <c r="S152" s="21">
        <f>NETWORKDAYS.INTL(DATE(2018,1,1),DATE(2018,12,31),1,{"2018/1/1";"2018/3/30";"2018/4/2";"2018/5/1";"2018/5/8";"2018/7/5";"2018/7/6";"2018/09/28";"2018/11/17";"2018/12/24";"2018/12/25";"2018/12/26"})</f>
        <v>250</v>
      </c>
      <c r="T152" s="21">
        <f t="shared" si="14"/>
        <v>115</v>
      </c>
      <c r="U152" s="21">
        <f t="shared" si="15"/>
        <v>365</v>
      </c>
      <c r="V152" s="311">
        <f t="shared" si="16"/>
        <v>250</v>
      </c>
      <c r="W152" s="308">
        <f t="shared" si="17"/>
        <v>0</v>
      </c>
      <c r="X152" s="583">
        <f t="shared" si="18"/>
        <v>0</v>
      </c>
      <c r="Y152" s="189">
        <v>0</v>
      </c>
    </row>
    <row r="153" spans="1:25" ht="15" x14ac:dyDescent="0.2">
      <c r="A153" s="138" t="s">
        <v>628</v>
      </c>
      <c r="B153" s="142" t="s">
        <v>629</v>
      </c>
      <c r="C153" s="142"/>
      <c r="D153" s="506">
        <f>VLOOKUP(C153,'Seznam HS - nemaš'!$A$1:$B$96,2,FALSE)</f>
        <v>0</v>
      </c>
      <c r="E153" s="243" t="s">
        <v>1739</v>
      </c>
      <c r="F153" s="301" t="s">
        <v>336</v>
      </c>
      <c r="G153" s="301"/>
      <c r="H153" s="30">
        <f>+IF(ISBLANK(I153),0,VLOOKUP(I153,'8Příloha_2_ceník_pravid_úklid'!$B$9:$C$30,2,0))</f>
        <v>8</v>
      </c>
      <c r="I153" s="143" t="s">
        <v>11</v>
      </c>
      <c r="J153" s="145">
        <v>9.48</v>
      </c>
      <c r="K153" s="275" t="s">
        <v>50</v>
      </c>
      <c r="L153" s="156" t="s">
        <v>21</v>
      </c>
      <c r="M153" s="22" t="s">
        <v>49</v>
      </c>
      <c r="N153" s="19">
        <f>IF((VLOOKUP(I153,'8Příloha_2_ceník_pravid_úklid'!$B$9:$I$30,8,0))=0,VLOOKUP(I153,'8Příloha_2_ceník_pravid_úklid'!$B$9:$K$30,10,0),VLOOKUP(I153,'8Příloha_2_ceník_pravid_úklid'!$B$9:$I$30,8,0))</f>
        <v>0</v>
      </c>
      <c r="O153" s="20">
        <v>1</v>
      </c>
      <c r="P153" s="20">
        <v>1</v>
      </c>
      <c r="Q153" s="20">
        <v>0</v>
      </c>
      <c r="R153" s="20">
        <v>0</v>
      </c>
      <c r="S153" s="21">
        <f>NETWORKDAYS.INTL(DATE(2018,1,1),DATE(2018,12,31),1,{"2018/1/1";"2018/3/30";"2018/4/2";"2018/5/1";"2018/5/8";"2018/7/5";"2018/7/6";"2018/09/28";"2018/11/17";"2018/12/24";"2018/12/25";"2018/12/26"})</f>
        <v>250</v>
      </c>
      <c r="T153" s="21">
        <f t="shared" si="14"/>
        <v>115</v>
      </c>
      <c r="U153" s="21">
        <f t="shared" si="15"/>
        <v>365</v>
      </c>
      <c r="V153" s="504">
        <f t="shared" si="16"/>
        <v>250</v>
      </c>
      <c r="W153" s="308">
        <f t="shared" si="17"/>
        <v>0</v>
      </c>
      <c r="X153" s="583">
        <f t="shared" si="18"/>
        <v>0</v>
      </c>
      <c r="Y153" s="189">
        <v>0</v>
      </c>
    </row>
    <row r="154" spans="1:25" ht="15" x14ac:dyDescent="0.2">
      <c r="A154" s="138" t="s">
        <v>628</v>
      </c>
      <c r="B154" s="142" t="s">
        <v>629</v>
      </c>
      <c r="C154" s="142"/>
      <c r="D154" s="506">
        <f>VLOOKUP(C154,'Seznam HS - nemaš'!$A$1:$B$96,2,FALSE)</f>
        <v>0</v>
      </c>
      <c r="E154" s="277" t="s">
        <v>1723</v>
      </c>
      <c r="F154" s="301" t="s">
        <v>635</v>
      </c>
      <c r="G154" s="301" t="s">
        <v>636</v>
      </c>
      <c r="H154" s="30">
        <f>+IF(ISBLANK(I154),0,VLOOKUP(I154,'8Příloha_2_ceník_pravid_úklid'!$B$9:$C$30,2,0))</f>
        <v>10</v>
      </c>
      <c r="I154" s="143" t="s">
        <v>0</v>
      </c>
      <c r="J154" s="145">
        <v>19.91</v>
      </c>
      <c r="K154" s="275" t="s">
        <v>460</v>
      </c>
      <c r="L154" s="156" t="s">
        <v>21</v>
      </c>
      <c r="M154" s="22" t="s">
        <v>49</v>
      </c>
      <c r="N154" s="19">
        <f>IF((VLOOKUP(I154,'8Příloha_2_ceník_pravid_úklid'!$B$9:$I$30,8,0))=0,VLOOKUP(I154,'8Příloha_2_ceník_pravid_úklid'!$B$9:$K$30,10,0),VLOOKUP(I154,'8Příloha_2_ceník_pravid_úklid'!$B$9:$I$30,8,0))</f>
        <v>0</v>
      </c>
      <c r="O154" s="20">
        <v>1</v>
      </c>
      <c r="P154" s="20">
        <v>1</v>
      </c>
      <c r="Q154" s="20">
        <v>0</v>
      </c>
      <c r="R154" s="20">
        <v>0</v>
      </c>
      <c r="S154" s="21">
        <f>NETWORKDAYS.INTL(DATE(2018,1,1),DATE(2018,12,31),1,{"2018/1/1";"2018/3/30";"2018/4/2";"2018/5/1";"2018/5/8";"2018/7/5";"2018/7/6";"2018/09/28";"2018/11/17";"2018/12/24";"2018/12/25";"2018/12/26"})</f>
        <v>250</v>
      </c>
      <c r="T154" s="21">
        <f t="shared" si="14"/>
        <v>115</v>
      </c>
      <c r="U154" s="21">
        <f t="shared" si="15"/>
        <v>365</v>
      </c>
      <c r="V154" s="311">
        <f t="shared" si="16"/>
        <v>250</v>
      </c>
      <c r="W154" s="308">
        <f t="shared" si="17"/>
        <v>0</v>
      </c>
      <c r="X154" s="583">
        <f t="shared" si="18"/>
        <v>0</v>
      </c>
      <c r="Y154" s="189">
        <v>0</v>
      </c>
    </row>
    <row r="155" spans="1:25" ht="15" x14ac:dyDescent="0.2">
      <c r="A155" s="138" t="s">
        <v>628</v>
      </c>
      <c r="B155" s="142" t="s">
        <v>629</v>
      </c>
      <c r="C155" s="142"/>
      <c r="D155" s="506">
        <f>VLOOKUP(C155,'Seznam HS - nemaš'!$A$1:$B$96,2,FALSE)</f>
        <v>0</v>
      </c>
      <c r="E155" s="277" t="s">
        <v>1724</v>
      </c>
      <c r="F155" s="301" t="s">
        <v>329</v>
      </c>
      <c r="G155" s="301" t="s">
        <v>638</v>
      </c>
      <c r="H155" s="30">
        <f>+IF(ISBLANK(I155),0,VLOOKUP(I155,'8Příloha_2_ceník_pravid_úklid'!$B$9:$C$30,2,0))</f>
        <v>4</v>
      </c>
      <c r="I155" s="143" t="s">
        <v>9</v>
      </c>
      <c r="J155" s="145">
        <v>22.29</v>
      </c>
      <c r="K155" s="275" t="s">
        <v>460</v>
      </c>
      <c r="L155" s="156" t="s">
        <v>634</v>
      </c>
      <c r="M155" s="22" t="s">
        <v>49</v>
      </c>
      <c r="N155" s="19">
        <f>IF((VLOOKUP(I155,'8Příloha_2_ceník_pravid_úklid'!$B$9:$I$30,8,0))=0,VLOOKUP(I155,'8Příloha_2_ceník_pravid_úklid'!$B$9:$K$30,10,0),VLOOKUP(I155,'8Příloha_2_ceník_pravid_úklid'!$B$9:$I$30,8,0))</f>
        <v>0</v>
      </c>
      <c r="O155" s="20">
        <v>1</v>
      </c>
      <c r="P155" s="20">
        <f>1/5</f>
        <v>0.2</v>
      </c>
      <c r="Q155" s="20">
        <v>0</v>
      </c>
      <c r="R155" s="20">
        <v>0</v>
      </c>
      <c r="S155" s="21">
        <f>NETWORKDAYS.INTL(DATE(2018,1,1),DATE(2018,12,31),1,{"2018/1/1";"2018/3/30";"2018/4/2";"2018/5/1";"2018/5/8";"2018/7/5";"2018/7/6";"2018/09/28";"2018/11/17";"2018/12/24";"2018/12/25";"2018/12/26"})</f>
        <v>250</v>
      </c>
      <c r="T155" s="21">
        <f t="shared" si="14"/>
        <v>115</v>
      </c>
      <c r="U155" s="21">
        <f t="shared" si="15"/>
        <v>365</v>
      </c>
      <c r="V155" s="311">
        <f t="shared" si="16"/>
        <v>50</v>
      </c>
      <c r="W155" s="308">
        <f t="shared" si="17"/>
        <v>0</v>
      </c>
      <c r="X155" s="583">
        <f t="shared" si="18"/>
        <v>0</v>
      </c>
      <c r="Y155" s="189">
        <v>0</v>
      </c>
    </row>
    <row r="156" spans="1:25" ht="15" x14ac:dyDescent="0.2">
      <c r="A156" s="235" t="s">
        <v>628</v>
      </c>
      <c r="B156" s="236" t="s">
        <v>629</v>
      </c>
      <c r="C156" s="236"/>
      <c r="D156" s="564">
        <f>VLOOKUP(C156,'Seznam HS - nemaš'!$A$1:$B$96,2,FALSE)</f>
        <v>0</v>
      </c>
      <c r="E156" s="302" t="s">
        <v>1726</v>
      </c>
      <c r="F156" s="303" t="s">
        <v>494</v>
      </c>
      <c r="G156" s="303" t="s">
        <v>640</v>
      </c>
      <c r="H156" s="30">
        <f>+IF(ISBLANK(I156),0,VLOOKUP(I156,'8Příloha_2_ceník_pravid_úklid'!$B$9:$C$30,2,0))</f>
        <v>4</v>
      </c>
      <c r="I156" s="273" t="s">
        <v>9</v>
      </c>
      <c r="J156" s="241">
        <v>6.94</v>
      </c>
      <c r="K156" s="240" t="s">
        <v>51</v>
      </c>
      <c r="L156" s="242" t="s">
        <v>387</v>
      </c>
      <c r="M156" s="237" t="s">
        <v>49</v>
      </c>
      <c r="N156" s="229" t="s">
        <v>501</v>
      </c>
      <c r="O156" s="230">
        <v>0</v>
      </c>
      <c r="P156" s="230">
        <v>0</v>
      </c>
      <c r="Q156" s="230">
        <v>0</v>
      </c>
      <c r="R156" s="230">
        <v>0</v>
      </c>
      <c r="S156" s="231">
        <f>NETWORKDAYS.INTL(DATE(2018,1,1),DATE(2018,12,31),1,{"2018/1/1";"2018/3/30";"2018/4/2";"2018/5/1";"2018/5/8";"2018/7/5";"2018/7/6";"2018/09/28";"2018/11/17";"2018/12/24";"2018/12/25";"2018/12/26"})</f>
        <v>250</v>
      </c>
      <c r="T156" s="231">
        <f t="shared" si="14"/>
        <v>115</v>
      </c>
      <c r="U156" s="231">
        <f t="shared" si="15"/>
        <v>365</v>
      </c>
      <c r="V156" s="312">
        <f t="shared" si="16"/>
        <v>0</v>
      </c>
      <c r="W156" s="309">
        <f t="shared" si="17"/>
        <v>0</v>
      </c>
      <c r="X156" s="584">
        <f t="shared" si="18"/>
        <v>0</v>
      </c>
      <c r="Y156" s="189">
        <v>0</v>
      </c>
    </row>
    <row r="157" spans="1:25" ht="15" x14ac:dyDescent="0.2">
      <c r="A157" s="138" t="s">
        <v>628</v>
      </c>
      <c r="B157" s="142" t="s">
        <v>629</v>
      </c>
      <c r="C157" s="142"/>
      <c r="D157" s="506">
        <f>VLOOKUP(C157,'Seznam HS - nemaš'!$A$1:$B$96,2,FALSE)</f>
        <v>0</v>
      </c>
      <c r="E157" s="277" t="s">
        <v>1725</v>
      </c>
      <c r="F157" s="301" t="s">
        <v>639</v>
      </c>
      <c r="G157" s="301" t="s">
        <v>495</v>
      </c>
      <c r="H157" s="30">
        <f>+IF(ISBLANK(I157),0,VLOOKUP(I157,'8Příloha_2_ceník_pravid_úklid'!$B$9:$C$30,2,0))</f>
        <v>6</v>
      </c>
      <c r="I157" s="143" t="s">
        <v>1</v>
      </c>
      <c r="J157" s="145">
        <v>2.35</v>
      </c>
      <c r="K157" s="275" t="s">
        <v>64</v>
      </c>
      <c r="L157" s="156" t="s">
        <v>21</v>
      </c>
      <c r="M157" s="22" t="s">
        <v>49</v>
      </c>
      <c r="N157" s="19">
        <f>IF((VLOOKUP(I157,'8Příloha_2_ceník_pravid_úklid'!$B$9:$I$30,8,0))=0,VLOOKUP(I157,'8Příloha_2_ceník_pravid_úklid'!$B$9:$K$30,10,0),VLOOKUP(I157,'8Příloha_2_ceník_pravid_úklid'!$B$9:$I$30,8,0))</f>
        <v>0</v>
      </c>
      <c r="O157" s="20">
        <v>1</v>
      </c>
      <c r="P157" s="20">
        <v>1</v>
      </c>
      <c r="Q157" s="20">
        <v>0</v>
      </c>
      <c r="R157" s="20">
        <v>0</v>
      </c>
      <c r="S157" s="21">
        <f>NETWORKDAYS.INTL(DATE(2018,1,1),DATE(2018,12,31),1,{"2018/1/1";"2018/3/30";"2018/4/2";"2018/5/1";"2018/5/8";"2018/7/5";"2018/7/6";"2018/09/28";"2018/11/17";"2018/12/24";"2018/12/25";"2018/12/26"})</f>
        <v>250</v>
      </c>
      <c r="T157" s="21">
        <f t="shared" si="14"/>
        <v>115</v>
      </c>
      <c r="U157" s="21">
        <f t="shared" si="15"/>
        <v>365</v>
      </c>
      <c r="V157" s="311">
        <f t="shared" si="16"/>
        <v>250</v>
      </c>
      <c r="W157" s="308">
        <f t="shared" si="17"/>
        <v>0</v>
      </c>
      <c r="X157" s="583">
        <f t="shared" si="18"/>
        <v>0</v>
      </c>
      <c r="Y157" s="189">
        <v>0</v>
      </c>
    </row>
    <row r="158" spans="1:25" ht="15" x14ac:dyDescent="0.2">
      <c r="A158" s="235" t="s">
        <v>628</v>
      </c>
      <c r="B158" s="236" t="s">
        <v>629</v>
      </c>
      <c r="C158" s="236"/>
      <c r="D158" s="564">
        <f>VLOOKUP(C158,'Seznam HS - nemaš'!$A$1:$B$96,2,FALSE)</f>
        <v>0</v>
      </c>
      <c r="E158" s="302" t="s">
        <v>1727</v>
      </c>
      <c r="F158" s="303" t="s">
        <v>641</v>
      </c>
      <c r="G158" s="303"/>
      <c r="H158" s="30">
        <f>+IF(ISBLANK(I158),0,VLOOKUP(I158,'8Příloha_2_ceník_pravid_úklid'!$B$9:$C$30,2,0))</f>
        <v>17</v>
      </c>
      <c r="I158" s="273" t="s">
        <v>13</v>
      </c>
      <c r="J158" s="241">
        <v>30.77</v>
      </c>
      <c r="K158" s="240"/>
      <c r="L158" s="242" t="s">
        <v>387</v>
      </c>
      <c r="M158" s="237" t="s">
        <v>49</v>
      </c>
      <c r="N158" s="229" t="s">
        <v>501</v>
      </c>
      <c r="O158" s="230">
        <v>0</v>
      </c>
      <c r="P158" s="230">
        <v>0</v>
      </c>
      <c r="Q158" s="230">
        <v>0</v>
      </c>
      <c r="R158" s="230">
        <v>0</v>
      </c>
      <c r="S158" s="231">
        <f>NETWORKDAYS.INTL(DATE(2018,1,1),DATE(2018,12,31),1,{"2018/1/1";"2018/3/30";"2018/4/2";"2018/5/1";"2018/5/8";"2018/7/5";"2018/7/6";"2018/09/28";"2018/11/17";"2018/12/24";"2018/12/25";"2018/12/26"})</f>
        <v>250</v>
      </c>
      <c r="T158" s="231">
        <f t="shared" si="14"/>
        <v>115</v>
      </c>
      <c r="U158" s="231">
        <f t="shared" si="15"/>
        <v>365</v>
      </c>
      <c r="V158" s="505">
        <f t="shared" si="16"/>
        <v>0</v>
      </c>
      <c r="W158" s="309">
        <f t="shared" si="17"/>
        <v>0</v>
      </c>
      <c r="X158" s="584">
        <f t="shared" si="18"/>
        <v>0</v>
      </c>
      <c r="Y158" s="584">
        <f t="shared" si="18"/>
        <v>0</v>
      </c>
    </row>
    <row r="159" spans="1:25" ht="15" x14ac:dyDescent="0.2">
      <c r="A159" s="235" t="s">
        <v>628</v>
      </c>
      <c r="B159" s="236" t="s">
        <v>629</v>
      </c>
      <c r="C159" s="236"/>
      <c r="D159" s="564">
        <f>VLOOKUP(C159,'Seznam HS - nemaš'!$A$1:$B$96,2,FALSE)</f>
        <v>0</v>
      </c>
      <c r="E159" s="302" t="s">
        <v>1728</v>
      </c>
      <c r="F159" s="303" t="s">
        <v>494</v>
      </c>
      <c r="G159" s="303" t="s">
        <v>554</v>
      </c>
      <c r="H159" s="30">
        <f>+IF(ISBLANK(I159),0,VLOOKUP(I159,'8Příloha_2_ceník_pravid_úklid'!$B$9:$C$30,2,0))</f>
        <v>4</v>
      </c>
      <c r="I159" s="273" t="s">
        <v>9</v>
      </c>
      <c r="J159" s="241">
        <v>24.85</v>
      </c>
      <c r="K159" s="240" t="s">
        <v>51</v>
      </c>
      <c r="L159" s="242" t="s">
        <v>387</v>
      </c>
      <c r="M159" s="237" t="s">
        <v>49</v>
      </c>
      <c r="N159" s="229" t="s">
        <v>501</v>
      </c>
      <c r="O159" s="230">
        <v>0</v>
      </c>
      <c r="P159" s="230">
        <v>0</v>
      </c>
      <c r="Q159" s="230">
        <v>0</v>
      </c>
      <c r="R159" s="230">
        <v>0</v>
      </c>
      <c r="S159" s="231">
        <f>NETWORKDAYS.INTL(DATE(2018,1,1),DATE(2018,12,31),1,{"2018/1/1";"2018/3/30";"2018/4/2";"2018/5/1";"2018/5/8";"2018/7/5";"2018/7/6";"2018/09/28";"2018/11/17";"2018/12/24";"2018/12/25";"2018/12/26"})</f>
        <v>250</v>
      </c>
      <c r="T159" s="231">
        <f t="shared" si="14"/>
        <v>115</v>
      </c>
      <c r="U159" s="231">
        <f t="shared" si="15"/>
        <v>365</v>
      </c>
      <c r="V159" s="505">
        <f t="shared" si="16"/>
        <v>0</v>
      </c>
      <c r="W159" s="309">
        <f t="shared" si="17"/>
        <v>0</v>
      </c>
      <c r="X159" s="584">
        <f t="shared" si="18"/>
        <v>0</v>
      </c>
      <c r="Y159" s="189">
        <v>0</v>
      </c>
    </row>
    <row r="160" spans="1:25" ht="15" x14ac:dyDescent="0.2">
      <c r="A160" s="138" t="s">
        <v>628</v>
      </c>
      <c r="B160" s="142" t="s">
        <v>629</v>
      </c>
      <c r="C160" s="142"/>
      <c r="D160" s="506">
        <f>VLOOKUP(C160,'Seznam HS - nemaš'!$A$1:$B$96,2,FALSE)</f>
        <v>0</v>
      </c>
      <c r="E160" s="277" t="s">
        <v>1722</v>
      </c>
      <c r="F160" s="301" t="s">
        <v>561</v>
      </c>
      <c r="G160" s="301"/>
      <c r="H160" s="30">
        <f>+IF(ISBLANK(I160),0,VLOOKUP(I160,'8Příloha_2_ceník_pravid_úklid'!$B$9:$C$30,2,0))</f>
        <v>7</v>
      </c>
      <c r="I160" s="143" t="s">
        <v>14</v>
      </c>
      <c r="J160" s="145">
        <v>9.08</v>
      </c>
      <c r="K160" s="275" t="s">
        <v>50</v>
      </c>
      <c r="L160" s="156" t="s">
        <v>21</v>
      </c>
      <c r="M160" s="22" t="s">
        <v>49</v>
      </c>
      <c r="N160" s="19">
        <f>IF((VLOOKUP(I160,'8Příloha_2_ceník_pravid_úklid'!$B$9:$I$30,8,0))=0,VLOOKUP(I160,'8Příloha_2_ceník_pravid_úklid'!$B$9:$K$30,10,0),VLOOKUP(I160,'8Příloha_2_ceník_pravid_úklid'!$B$9:$I$30,8,0))</f>
        <v>0</v>
      </c>
      <c r="O160" s="20">
        <v>1</v>
      </c>
      <c r="P160" s="20">
        <v>1</v>
      </c>
      <c r="Q160" s="20">
        <v>0</v>
      </c>
      <c r="R160" s="20">
        <v>0</v>
      </c>
      <c r="S160" s="21">
        <f>NETWORKDAYS.INTL(DATE(2018,1,1),DATE(2018,12,31),1,{"2018/1/1";"2018/3/30";"2018/4/2";"2018/5/1";"2018/5/8";"2018/7/5";"2018/7/6";"2018/09/28";"2018/11/17";"2018/12/24";"2018/12/25";"2018/12/26"})</f>
        <v>250</v>
      </c>
      <c r="T160" s="21">
        <f t="shared" si="14"/>
        <v>115</v>
      </c>
      <c r="U160" s="21">
        <f t="shared" si="15"/>
        <v>365</v>
      </c>
      <c r="V160" s="311">
        <f t="shared" si="16"/>
        <v>250</v>
      </c>
      <c r="W160" s="308">
        <f t="shared" si="17"/>
        <v>0</v>
      </c>
      <c r="X160" s="583">
        <f t="shared" si="18"/>
        <v>0</v>
      </c>
      <c r="Y160" s="189">
        <v>0</v>
      </c>
    </row>
    <row r="161" spans="1:25" ht="15" x14ac:dyDescent="0.2">
      <c r="A161" s="138" t="s">
        <v>628</v>
      </c>
      <c r="B161" s="142" t="s">
        <v>629</v>
      </c>
      <c r="C161" s="142"/>
      <c r="D161" s="506">
        <f>VLOOKUP(C161,'Seznam HS - nemaš'!$A$1:$B$96,2,FALSE)</f>
        <v>0</v>
      </c>
      <c r="E161" s="277" t="s">
        <v>1721</v>
      </c>
      <c r="F161" s="301" t="s">
        <v>437</v>
      </c>
      <c r="G161" s="301"/>
      <c r="H161" s="30">
        <f>+IF(ISBLANK(I161),0,VLOOKUP(I161,'8Příloha_2_ceník_pravid_úklid'!$B$9:$C$30,2,0))</f>
        <v>7</v>
      </c>
      <c r="I161" s="143" t="s">
        <v>14</v>
      </c>
      <c r="J161" s="145">
        <f>2.3*1.15</f>
        <v>2.6449999999999996</v>
      </c>
      <c r="K161" s="275" t="s">
        <v>64</v>
      </c>
      <c r="L161" s="156" t="s">
        <v>21</v>
      </c>
      <c r="M161" s="22" t="s">
        <v>49</v>
      </c>
      <c r="N161" s="19">
        <f>IF((VLOOKUP(I161,'8Příloha_2_ceník_pravid_úklid'!$B$9:$I$30,8,0))=0,VLOOKUP(I161,'8Příloha_2_ceník_pravid_úklid'!$B$9:$K$30,10,0),VLOOKUP(I161,'8Příloha_2_ceník_pravid_úklid'!$B$9:$I$30,8,0))</f>
        <v>0</v>
      </c>
      <c r="O161" s="20">
        <v>1</v>
      </c>
      <c r="P161" s="20">
        <v>1</v>
      </c>
      <c r="Q161" s="20">
        <v>0</v>
      </c>
      <c r="R161" s="20">
        <v>0</v>
      </c>
      <c r="S161" s="21">
        <f>NETWORKDAYS.INTL(DATE(2018,1,1),DATE(2018,12,31),1,{"2018/1/1";"2018/3/30";"2018/4/2";"2018/5/1";"2018/5/8";"2018/7/5";"2018/7/6";"2018/09/28";"2018/11/17";"2018/12/24";"2018/12/25";"2018/12/26"})</f>
        <v>250</v>
      </c>
      <c r="T161" s="21">
        <f t="shared" si="14"/>
        <v>115</v>
      </c>
      <c r="U161" s="21">
        <f t="shared" si="15"/>
        <v>365</v>
      </c>
      <c r="V161" s="311">
        <f t="shared" si="16"/>
        <v>250</v>
      </c>
      <c r="W161" s="308">
        <f t="shared" si="17"/>
        <v>0</v>
      </c>
      <c r="X161" s="583">
        <f t="shared" si="18"/>
        <v>0</v>
      </c>
      <c r="Y161" s="189">
        <v>0</v>
      </c>
    </row>
    <row r="162" spans="1:25" ht="15" x14ac:dyDescent="0.2">
      <c r="A162" s="138" t="s">
        <v>628</v>
      </c>
      <c r="B162" s="142" t="s">
        <v>629</v>
      </c>
      <c r="C162" s="142"/>
      <c r="D162" s="506">
        <f>VLOOKUP(C162,'Seznam HS - nemaš'!$A$1:$B$96,2,FALSE)</f>
        <v>0</v>
      </c>
      <c r="E162" s="277" t="s">
        <v>1720</v>
      </c>
      <c r="F162" s="301" t="s">
        <v>329</v>
      </c>
      <c r="G162" s="301" t="s">
        <v>633</v>
      </c>
      <c r="H162" s="30">
        <f>+IF(ISBLANK(I162),0,VLOOKUP(I162,'8Příloha_2_ceník_pravid_úklid'!$B$9:$C$30,2,0))</f>
        <v>4</v>
      </c>
      <c r="I162" s="143" t="s">
        <v>9</v>
      </c>
      <c r="J162" s="145">
        <v>10.51</v>
      </c>
      <c r="K162" s="275" t="s">
        <v>460</v>
      </c>
      <c r="L162" s="156" t="s">
        <v>634</v>
      </c>
      <c r="M162" s="22" t="s">
        <v>49</v>
      </c>
      <c r="N162" s="19">
        <f>IF((VLOOKUP(I162,'8Příloha_2_ceník_pravid_úklid'!$B$9:$I$30,8,0))=0,VLOOKUP(I162,'8Příloha_2_ceník_pravid_úklid'!$B$9:$K$30,10,0),VLOOKUP(I162,'8Příloha_2_ceník_pravid_úklid'!$B$9:$I$30,8,0))</f>
        <v>0</v>
      </c>
      <c r="O162" s="20">
        <v>1</v>
      </c>
      <c r="P162" s="20">
        <f>1/5</f>
        <v>0.2</v>
      </c>
      <c r="Q162" s="20">
        <v>0</v>
      </c>
      <c r="R162" s="20">
        <v>0</v>
      </c>
      <c r="S162" s="21">
        <f>NETWORKDAYS.INTL(DATE(2018,1,1),DATE(2018,12,31),1,{"2018/1/1";"2018/3/30";"2018/4/2";"2018/5/1";"2018/5/8";"2018/7/5";"2018/7/6";"2018/09/28";"2018/11/17";"2018/12/24";"2018/12/25";"2018/12/26"})</f>
        <v>250</v>
      </c>
      <c r="T162" s="21">
        <f t="shared" si="14"/>
        <v>115</v>
      </c>
      <c r="U162" s="21">
        <f t="shared" si="15"/>
        <v>365</v>
      </c>
      <c r="V162" s="311">
        <f t="shared" si="16"/>
        <v>50</v>
      </c>
      <c r="W162" s="308">
        <f t="shared" si="17"/>
        <v>0</v>
      </c>
      <c r="X162" s="583">
        <f t="shared" si="18"/>
        <v>0</v>
      </c>
      <c r="Y162" s="189">
        <v>0</v>
      </c>
    </row>
    <row r="163" spans="1:25" ht="15" x14ac:dyDescent="0.2">
      <c r="A163" s="138" t="s">
        <v>628</v>
      </c>
      <c r="B163" s="142" t="s">
        <v>629</v>
      </c>
      <c r="C163" s="142"/>
      <c r="D163" s="506">
        <f>VLOOKUP(C163,'Seznam HS - nemaš'!$A$1:$B$96,2,FALSE)</f>
        <v>0</v>
      </c>
      <c r="E163" s="277" t="s">
        <v>1719</v>
      </c>
      <c r="F163" s="301" t="s">
        <v>494</v>
      </c>
      <c r="G163" s="301" t="s">
        <v>615</v>
      </c>
      <c r="H163" s="30">
        <f>+IF(ISBLANK(I163),0,VLOOKUP(I163,'8Příloha_2_ceník_pravid_úklid'!$B$9:$C$30,2,0))</f>
        <v>10</v>
      </c>
      <c r="I163" s="143" t="s">
        <v>0</v>
      </c>
      <c r="J163" s="145">
        <v>21.11</v>
      </c>
      <c r="K163" s="275" t="s">
        <v>64</v>
      </c>
      <c r="L163" s="156" t="s">
        <v>21</v>
      </c>
      <c r="M163" s="22" t="s">
        <v>49</v>
      </c>
      <c r="N163" s="19">
        <f>IF((VLOOKUP(I163,'8Příloha_2_ceník_pravid_úklid'!$B$9:$I$30,8,0))=0,VLOOKUP(I163,'8Příloha_2_ceník_pravid_úklid'!$B$9:$K$30,10,0),VLOOKUP(I163,'8Příloha_2_ceník_pravid_úklid'!$B$9:$I$30,8,0))</f>
        <v>0</v>
      </c>
      <c r="O163" s="20">
        <v>1</v>
      </c>
      <c r="P163" s="20">
        <v>1</v>
      </c>
      <c r="Q163" s="20">
        <v>0</v>
      </c>
      <c r="R163" s="20">
        <v>0</v>
      </c>
      <c r="S163" s="21">
        <f>NETWORKDAYS.INTL(DATE(2018,1,1),DATE(2018,12,31),1,{"2018/1/1";"2018/3/30";"2018/4/2";"2018/5/1";"2018/5/8";"2018/7/5";"2018/7/6";"2018/09/28";"2018/11/17";"2018/12/24";"2018/12/25";"2018/12/26"})</f>
        <v>250</v>
      </c>
      <c r="T163" s="21">
        <f t="shared" si="14"/>
        <v>115</v>
      </c>
      <c r="U163" s="21">
        <f t="shared" si="15"/>
        <v>365</v>
      </c>
      <c r="V163" s="311">
        <f t="shared" si="16"/>
        <v>250</v>
      </c>
      <c r="W163" s="308">
        <f t="shared" si="17"/>
        <v>0</v>
      </c>
      <c r="X163" s="583">
        <f t="shared" si="18"/>
        <v>0</v>
      </c>
      <c r="Y163" s="189">
        <v>0</v>
      </c>
    </row>
    <row r="164" spans="1:25" ht="15" x14ac:dyDescent="0.2">
      <c r="A164" s="138" t="s">
        <v>628</v>
      </c>
      <c r="B164" s="142" t="s">
        <v>629</v>
      </c>
      <c r="C164" s="142"/>
      <c r="D164" s="506">
        <f>VLOOKUP(C164,'Seznam HS - nemaš'!$A$1:$B$96,2,FALSE)</f>
        <v>0</v>
      </c>
      <c r="E164" s="277" t="s">
        <v>1710</v>
      </c>
      <c r="F164" s="301" t="s">
        <v>329</v>
      </c>
      <c r="G164" s="301"/>
      <c r="H164" s="30">
        <f>+IF(ISBLANK(I164),0,VLOOKUP(I164,'8Příloha_2_ceník_pravid_úklid'!$B$9:$C$30,2,0))</f>
        <v>4</v>
      </c>
      <c r="I164" s="143" t="s">
        <v>9</v>
      </c>
      <c r="J164" s="145">
        <v>10.3</v>
      </c>
      <c r="K164" s="275" t="s">
        <v>460</v>
      </c>
      <c r="L164" s="156" t="s">
        <v>487</v>
      </c>
      <c r="M164" s="22" t="s">
        <v>49</v>
      </c>
      <c r="N164" s="19">
        <f>IF((VLOOKUP(I164,'8Příloha_2_ceník_pravid_úklid'!$B$9:$I$30,8,0))=0,VLOOKUP(I164,'8Příloha_2_ceník_pravid_úklid'!$B$9:$K$30,10,0),VLOOKUP(I164,'8Příloha_2_ceník_pravid_úklid'!$B$9:$I$30,8,0))</f>
        <v>0</v>
      </c>
      <c r="O164" s="20">
        <v>1</v>
      </c>
      <c r="P164" s="20">
        <f>1/5</f>
        <v>0.2</v>
      </c>
      <c r="Q164" s="20">
        <v>0</v>
      </c>
      <c r="R164" s="20">
        <v>0</v>
      </c>
      <c r="S164" s="21">
        <f>NETWORKDAYS.INTL(DATE(2018,1,1),DATE(2018,12,31),1,{"2018/1/1";"2018/3/30";"2018/4/2";"2018/5/1";"2018/5/8";"2018/7/5";"2018/7/6";"2018/09/28";"2018/11/17";"2018/12/24";"2018/12/25";"2018/12/26"})</f>
        <v>250</v>
      </c>
      <c r="T164" s="21">
        <f t="shared" si="14"/>
        <v>115</v>
      </c>
      <c r="U164" s="21">
        <f t="shared" si="15"/>
        <v>365</v>
      </c>
      <c r="V164" s="311">
        <f t="shared" si="16"/>
        <v>50</v>
      </c>
      <c r="W164" s="308">
        <f t="shared" si="17"/>
        <v>0</v>
      </c>
      <c r="X164" s="583">
        <f t="shared" si="18"/>
        <v>0</v>
      </c>
      <c r="Y164" s="189">
        <v>0</v>
      </c>
    </row>
    <row r="165" spans="1:25" ht="15" x14ac:dyDescent="0.2">
      <c r="A165" s="138" t="s">
        <v>628</v>
      </c>
      <c r="B165" s="142" t="s">
        <v>629</v>
      </c>
      <c r="C165" s="142"/>
      <c r="D165" s="506">
        <f>VLOOKUP(C165,'Seznam HS - nemaš'!$A$1:$B$96,2,FALSE)</f>
        <v>0</v>
      </c>
      <c r="E165" s="277" t="s">
        <v>1715</v>
      </c>
      <c r="F165" s="301" t="s">
        <v>437</v>
      </c>
      <c r="G165" s="301"/>
      <c r="H165" s="30">
        <f>+IF(ISBLANK(I165),0,VLOOKUP(I165,'8Příloha_2_ceník_pravid_úklid'!$B$9:$C$30,2,0))</f>
        <v>7</v>
      </c>
      <c r="I165" s="143" t="s">
        <v>14</v>
      </c>
      <c r="J165" s="145">
        <v>2.1</v>
      </c>
      <c r="K165" s="275" t="s">
        <v>50</v>
      </c>
      <c r="L165" s="156" t="s">
        <v>21</v>
      </c>
      <c r="M165" s="22" t="s">
        <v>49</v>
      </c>
      <c r="N165" s="19">
        <f>IF((VLOOKUP(I165,'8Příloha_2_ceník_pravid_úklid'!$B$9:$I$30,8,0))=0,VLOOKUP(I165,'8Příloha_2_ceník_pravid_úklid'!$B$9:$K$30,10,0),VLOOKUP(I165,'8Příloha_2_ceník_pravid_úklid'!$B$9:$I$30,8,0))</f>
        <v>0</v>
      </c>
      <c r="O165" s="20">
        <v>1</v>
      </c>
      <c r="P165" s="20">
        <v>1</v>
      </c>
      <c r="Q165" s="20">
        <v>0</v>
      </c>
      <c r="R165" s="20">
        <v>0</v>
      </c>
      <c r="S165" s="21">
        <f>NETWORKDAYS.INTL(DATE(2018,1,1),DATE(2018,12,31),1,{"2018/1/1";"2018/3/30";"2018/4/2";"2018/5/1";"2018/5/8";"2018/7/5";"2018/7/6";"2018/09/28";"2018/11/17";"2018/12/24";"2018/12/25";"2018/12/26"})</f>
        <v>250</v>
      </c>
      <c r="T165" s="21">
        <f t="shared" si="14"/>
        <v>115</v>
      </c>
      <c r="U165" s="21">
        <f t="shared" si="15"/>
        <v>365</v>
      </c>
      <c r="V165" s="311">
        <f t="shared" si="16"/>
        <v>250</v>
      </c>
      <c r="W165" s="308">
        <f t="shared" si="17"/>
        <v>0</v>
      </c>
      <c r="X165" s="583">
        <f t="shared" si="18"/>
        <v>0</v>
      </c>
      <c r="Y165" s="189">
        <v>0</v>
      </c>
    </row>
    <row r="166" spans="1:25" ht="15" x14ac:dyDescent="0.2">
      <c r="A166" s="138" t="s">
        <v>628</v>
      </c>
      <c r="B166" s="142" t="s">
        <v>629</v>
      </c>
      <c r="C166" s="142"/>
      <c r="D166" s="506">
        <f>VLOOKUP(C166,'Seznam HS - nemaš'!$A$1:$B$96,2,FALSE)</f>
        <v>0</v>
      </c>
      <c r="E166" s="277" t="s">
        <v>1714</v>
      </c>
      <c r="F166" s="301" t="s">
        <v>477</v>
      </c>
      <c r="G166" s="301"/>
      <c r="H166" s="30">
        <f>+IF(ISBLANK(I166),0,VLOOKUP(I166,'8Příloha_2_ceník_pravid_úklid'!$B$9:$C$30,2,0))</f>
        <v>7</v>
      </c>
      <c r="I166" s="143" t="s">
        <v>14</v>
      </c>
      <c r="J166" s="145">
        <v>6.2</v>
      </c>
      <c r="K166" s="275" t="s">
        <v>50</v>
      </c>
      <c r="L166" s="156" t="s">
        <v>21</v>
      </c>
      <c r="M166" s="22" t="s">
        <v>49</v>
      </c>
      <c r="N166" s="19">
        <f>IF((VLOOKUP(I166,'8Příloha_2_ceník_pravid_úklid'!$B$9:$I$30,8,0))=0,VLOOKUP(I166,'8Příloha_2_ceník_pravid_úklid'!$B$9:$K$30,10,0),VLOOKUP(I166,'8Příloha_2_ceník_pravid_úklid'!$B$9:$I$30,8,0))</f>
        <v>0</v>
      </c>
      <c r="O166" s="20">
        <v>1</v>
      </c>
      <c r="P166" s="20">
        <v>1</v>
      </c>
      <c r="Q166" s="20">
        <v>0</v>
      </c>
      <c r="R166" s="20">
        <v>0</v>
      </c>
      <c r="S166" s="21">
        <f>NETWORKDAYS.INTL(DATE(2018,1,1),DATE(2018,12,31),1,{"2018/1/1";"2018/3/30";"2018/4/2";"2018/5/1";"2018/5/8";"2018/7/5";"2018/7/6";"2018/09/28";"2018/11/17";"2018/12/24";"2018/12/25";"2018/12/26"})</f>
        <v>250</v>
      </c>
      <c r="T166" s="21">
        <f t="shared" ref="T166:T174" si="19">U166-S166</f>
        <v>115</v>
      </c>
      <c r="U166" s="21">
        <f t="shared" ref="U166:U174" si="20">_xlfn.DAYS("1.1.2019","1.1.2018")</f>
        <v>365</v>
      </c>
      <c r="V166" s="311">
        <f t="shared" si="16"/>
        <v>250</v>
      </c>
      <c r="W166" s="308">
        <f t="shared" si="17"/>
        <v>0</v>
      </c>
      <c r="X166" s="583">
        <f t="shared" si="18"/>
        <v>0</v>
      </c>
      <c r="Y166" s="189">
        <v>0</v>
      </c>
    </row>
    <row r="167" spans="1:25" x14ac:dyDescent="0.2">
      <c r="A167" s="235" t="s">
        <v>628</v>
      </c>
      <c r="B167" s="236" t="s">
        <v>629</v>
      </c>
      <c r="C167" s="236"/>
      <c r="D167" s="564">
        <f>VLOOKUP(C167,'Seznam HS - nemaš'!$A$1:$B$96,2,FALSE)</f>
        <v>0</v>
      </c>
      <c r="E167" s="302" t="s">
        <v>1716</v>
      </c>
      <c r="F167" s="238" t="s">
        <v>541</v>
      </c>
      <c r="G167" s="238" t="s">
        <v>507</v>
      </c>
      <c r="H167" s="303">
        <f>+IF(ISBLANK(I167),0,VLOOKUP(I167,'8Příloha_2_ceník_pravid_úklid'!$B$9:$C$30,2,0))</f>
        <v>17</v>
      </c>
      <c r="I167" s="273" t="s">
        <v>13</v>
      </c>
      <c r="J167" s="241">
        <v>10.92</v>
      </c>
      <c r="K167" s="237"/>
      <c r="L167" s="310"/>
      <c r="M167" s="237"/>
      <c r="N167" s="229" t="s">
        <v>501</v>
      </c>
      <c r="O167" s="20"/>
      <c r="P167" s="20"/>
      <c r="Q167" s="20"/>
      <c r="R167" s="20"/>
      <c r="S167" s="21">
        <f>NETWORKDAYS.INTL(DATE(2018,1,1),DATE(2018,12,31),1,{"2018/1/1";"2018/3/30";"2018/4/2";"2018/5/1";"2018/5/8";"2018/7/5";"2018/7/6";"2018/09/28";"2018/11/17";"2018/12/24";"2018/12/25";"2018/12/26"})</f>
        <v>250</v>
      </c>
      <c r="T167" s="21">
        <f t="shared" si="19"/>
        <v>115</v>
      </c>
      <c r="U167" s="21">
        <f t="shared" si="20"/>
        <v>365</v>
      </c>
      <c r="V167" s="72">
        <f t="shared" si="16"/>
        <v>0</v>
      </c>
      <c r="W167" s="309">
        <f t="shared" si="17"/>
        <v>0</v>
      </c>
      <c r="X167" s="579">
        <f t="shared" si="18"/>
        <v>0</v>
      </c>
      <c r="Y167" s="579">
        <f t="shared" si="18"/>
        <v>0</v>
      </c>
    </row>
    <row r="168" spans="1:25" ht="15" x14ac:dyDescent="0.2">
      <c r="A168" s="138" t="s">
        <v>628</v>
      </c>
      <c r="B168" s="142" t="s">
        <v>629</v>
      </c>
      <c r="C168" s="142"/>
      <c r="D168" s="506">
        <f>VLOOKUP(C168,'Seznam HS - nemaš'!$A$1:$B$96,2,FALSE)</f>
        <v>0</v>
      </c>
      <c r="E168" s="277" t="s">
        <v>1740</v>
      </c>
      <c r="F168" s="301" t="s">
        <v>389</v>
      </c>
      <c r="G168" s="301"/>
      <c r="H168" s="30">
        <f>+IF(ISBLANK(I168),0,VLOOKUP(I168,'8Příloha_2_ceník_pravid_úklid'!$B$9:$C$30,2,0))</f>
        <v>17</v>
      </c>
      <c r="I168" s="143" t="s">
        <v>13</v>
      </c>
      <c r="J168" s="145">
        <v>2.52</v>
      </c>
      <c r="K168" s="275" t="s">
        <v>50</v>
      </c>
      <c r="L168" s="156" t="s">
        <v>631</v>
      </c>
      <c r="M168" s="22" t="s">
        <v>49</v>
      </c>
      <c r="N168" s="19">
        <f>IF((VLOOKUP(I168,'8Příloha_2_ceník_pravid_úklid'!$B$9:$I$30,8,0))=0,VLOOKUP(I168,'8Příloha_2_ceník_pravid_úklid'!$B$9:$K$30,10,0),VLOOKUP(I168,'8Příloha_2_ceník_pravid_úklid'!$B$9:$I$30,8,0))</f>
        <v>0</v>
      </c>
      <c r="O168" s="20">
        <v>1</v>
      </c>
      <c r="P168" s="318">
        <f>1/21</f>
        <v>4.7619047619047616E-2</v>
      </c>
      <c r="Q168" s="20">
        <v>0</v>
      </c>
      <c r="R168" s="20">
        <v>0</v>
      </c>
      <c r="S168" s="21">
        <f>NETWORKDAYS.INTL(DATE(2018,1,1),DATE(2018,12,31),1,{"2018/1/1";"2018/3/30";"2018/4/2";"2018/5/1";"2018/5/8";"2018/7/5";"2018/7/6";"2018/09/28";"2018/11/17";"2018/12/24";"2018/12/25";"2018/12/26"})</f>
        <v>250</v>
      </c>
      <c r="T168" s="21">
        <f t="shared" si="19"/>
        <v>115</v>
      </c>
      <c r="U168" s="21">
        <f t="shared" si="20"/>
        <v>365</v>
      </c>
      <c r="V168" s="311">
        <f t="shared" si="16"/>
        <v>11.9</v>
      </c>
      <c r="W168" s="308">
        <f t="shared" si="17"/>
        <v>0</v>
      </c>
      <c r="X168" s="583">
        <f t="shared" si="18"/>
        <v>0</v>
      </c>
      <c r="Y168" s="189">
        <v>0</v>
      </c>
    </row>
    <row r="169" spans="1:25" ht="15" x14ac:dyDescent="0.2">
      <c r="A169" s="138" t="s">
        <v>628</v>
      </c>
      <c r="B169" s="142" t="s">
        <v>629</v>
      </c>
      <c r="C169" s="142"/>
      <c r="D169" s="506">
        <f>VLOOKUP(C169,'Seznam HS - nemaš'!$A$1:$B$96,2,FALSE)</f>
        <v>0</v>
      </c>
      <c r="E169" s="277" t="s">
        <v>1717</v>
      </c>
      <c r="F169" s="301" t="s">
        <v>389</v>
      </c>
      <c r="G169" s="301"/>
      <c r="H169" s="30">
        <f>+IF(ISBLANK(I169),0,VLOOKUP(I169,'8Příloha_2_ceník_pravid_úklid'!$B$9:$C$30,2,0))</f>
        <v>17</v>
      </c>
      <c r="I169" s="143" t="s">
        <v>13</v>
      </c>
      <c r="J169" s="145">
        <v>3.15</v>
      </c>
      <c r="K169" s="275" t="s">
        <v>50</v>
      </c>
      <c r="L169" s="156" t="s">
        <v>631</v>
      </c>
      <c r="M169" s="22" t="s">
        <v>49</v>
      </c>
      <c r="N169" s="19">
        <f>IF((VLOOKUP(I169,'8Příloha_2_ceník_pravid_úklid'!$B$9:$I$30,8,0))=0,VLOOKUP(I169,'8Příloha_2_ceník_pravid_úklid'!$B$9:$K$30,10,0),VLOOKUP(I169,'8Příloha_2_ceník_pravid_úklid'!$B$9:$I$30,8,0))</f>
        <v>0</v>
      </c>
      <c r="O169" s="20">
        <v>1</v>
      </c>
      <c r="P169" s="318">
        <f>1/21</f>
        <v>4.7619047619047616E-2</v>
      </c>
      <c r="Q169" s="20">
        <v>0</v>
      </c>
      <c r="R169" s="20">
        <v>0</v>
      </c>
      <c r="S169" s="21">
        <f>NETWORKDAYS.INTL(DATE(2018,1,1),DATE(2018,12,31),1,{"2018/1/1";"2018/3/30";"2018/4/2";"2018/5/1";"2018/5/8";"2018/7/5";"2018/7/6";"2018/09/28";"2018/11/17";"2018/12/24";"2018/12/25";"2018/12/26"})</f>
        <v>250</v>
      </c>
      <c r="T169" s="21">
        <f t="shared" si="19"/>
        <v>115</v>
      </c>
      <c r="U169" s="21">
        <f t="shared" si="20"/>
        <v>365</v>
      </c>
      <c r="V169" s="311">
        <f t="shared" si="16"/>
        <v>11.9</v>
      </c>
      <c r="W169" s="308">
        <f t="shared" si="17"/>
        <v>0</v>
      </c>
      <c r="X169" s="583">
        <f t="shared" si="18"/>
        <v>0</v>
      </c>
      <c r="Y169" s="189">
        <v>0</v>
      </c>
    </row>
    <row r="170" spans="1:25" ht="15" x14ac:dyDescent="0.2">
      <c r="A170" s="138" t="s">
        <v>628</v>
      </c>
      <c r="B170" s="142" t="s">
        <v>629</v>
      </c>
      <c r="C170" s="142"/>
      <c r="D170" s="506">
        <f>VLOOKUP(C170,'Seznam HS - nemaš'!$A$1:$B$96,2,FALSE)</f>
        <v>0</v>
      </c>
      <c r="E170" s="277" t="s">
        <v>1713</v>
      </c>
      <c r="F170" s="301" t="s">
        <v>630</v>
      </c>
      <c r="G170" s="301"/>
      <c r="H170" s="30">
        <f>+IF(ISBLANK(I170),0,VLOOKUP(I170,'8Příloha_2_ceník_pravid_úklid'!$B$9:$C$30,2,0))</f>
        <v>4</v>
      </c>
      <c r="I170" s="143" t="s">
        <v>9</v>
      </c>
      <c r="J170" s="145">
        <v>17.5</v>
      </c>
      <c r="K170" s="275" t="s">
        <v>460</v>
      </c>
      <c r="L170" s="156" t="s">
        <v>21</v>
      </c>
      <c r="M170" s="22" t="s">
        <v>49</v>
      </c>
      <c r="N170" s="19">
        <f>IF((VLOOKUP(I170,'8Příloha_2_ceník_pravid_úklid'!$B$9:$I$30,8,0))=0,VLOOKUP(I170,'8Příloha_2_ceník_pravid_úklid'!$B$9:$K$30,10,0),VLOOKUP(I170,'8Příloha_2_ceník_pravid_úklid'!$B$9:$I$30,8,0))</f>
        <v>0</v>
      </c>
      <c r="O170" s="20">
        <v>1</v>
      </c>
      <c r="P170" s="20">
        <v>1</v>
      </c>
      <c r="Q170" s="20">
        <v>0</v>
      </c>
      <c r="R170" s="20">
        <v>0</v>
      </c>
      <c r="S170" s="21">
        <f>NETWORKDAYS.INTL(DATE(2018,1,1),DATE(2018,12,31),1,{"2018/1/1";"2018/3/30";"2018/4/2";"2018/5/1";"2018/5/8";"2018/7/5";"2018/7/6";"2018/09/28";"2018/11/17";"2018/12/24";"2018/12/25";"2018/12/26"})</f>
        <v>250</v>
      </c>
      <c r="T170" s="21">
        <f t="shared" si="19"/>
        <v>115</v>
      </c>
      <c r="U170" s="21">
        <f t="shared" si="20"/>
        <v>365</v>
      </c>
      <c r="V170" s="311">
        <f t="shared" si="16"/>
        <v>250</v>
      </c>
      <c r="W170" s="308">
        <f t="shared" si="17"/>
        <v>0</v>
      </c>
      <c r="X170" s="583">
        <f t="shared" si="18"/>
        <v>0</v>
      </c>
      <c r="Y170" s="189">
        <v>0</v>
      </c>
    </row>
    <row r="171" spans="1:25" ht="15" x14ac:dyDescent="0.2">
      <c r="A171" s="138" t="s">
        <v>628</v>
      </c>
      <c r="B171" s="142" t="s">
        <v>629</v>
      </c>
      <c r="C171" s="142"/>
      <c r="D171" s="506">
        <f>VLOOKUP(C171,'Seznam HS - nemaš'!$A$1:$B$96,2,FALSE)</f>
        <v>0</v>
      </c>
      <c r="E171" s="277" t="s">
        <v>1712</v>
      </c>
      <c r="F171" s="301" t="s">
        <v>630</v>
      </c>
      <c r="G171" s="301"/>
      <c r="H171" s="30">
        <f>+IF(ISBLANK(I171),0,VLOOKUP(I171,'8Příloha_2_ceník_pravid_úklid'!$B$9:$C$30,2,0))</f>
        <v>4</v>
      </c>
      <c r="I171" s="143" t="s">
        <v>9</v>
      </c>
      <c r="J171" s="145">
        <v>16.600000000000001</v>
      </c>
      <c r="K171" s="275" t="s">
        <v>460</v>
      </c>
      <c r="L171" s="156" t="s">
        <v>21</v>
      </c>
      <c r="M171" s="22" t="s">
        <v>49</v>
      </c>
      <c r="N171" s="19">
        <f>IF((VLOOKUP(I171,'8Příloha_2_ceník_pravid_úklid'!$B$9:$I$30,8,0))=0,VLOOKUP(I171,'8Příloha_2_ceník_pravid_úklid'!$B$9:$K$30,10,0),VLOOKUP(I171,'8Příloha_2_ceník_pravid_úklid'!$B$9:$I$30,8,0))</f>
        <v>0</v>
      </c>
      <c r="O171" s="20">
        <v>1</v>
      </c>
      <c r="P171" s="20">
        <v>1</v>
      </c>
      <c r="Q171" s="20">
        <v>0</v>
      </c>
      <c r="R171" s="20">
        <v>0</v>
      </c>
      <c r="S171" s="21">
        <f>NETWORKDAYS.INTL(DATE(2018,1,1),DATE(2018,12,31),1,{"2018/1/1";"2018/3/30";"2018/4/2";"2018/5/1";"2018/5/8";"2018/7/5";"2018/7/6";"2018/09/28";"2018/11/17";"2018/12/24";"2018/12/25";"2018/12/26"})</f>
        <v>250</v>
      </c>
      <c r="T171" s="21">
        <f t="shared" si="19"/>
        <v>115</v>
      </c>
      <c r="U171" s="21">
        <f t="shared" si="20"/>
        <v>365</v>
      </c>
      <c r="V171" s="311">
        <f t="shared" si="16"/>
        <v>250</v>
      </c>
      <c r="W171" s="308">
        <f t="shared" si="17"/>
        <v>0</v>
      </c>
      <c r="X171" s="583">
        <f t="shared" si="18"/>
        <v>0</v>
      </c>
      <c r="Y171" s="189">
        <v>0</v>
      </c>
    </row>
    <row r="172" spans="1:25" ht="15" x14ac:dyDescent="0.2">
      <c r="A172" s="138" t="s">
        <v>628</v>
      </c>
      <c r="B172" s="142" t="s">
        <v>629</v>
      </c>
      <c r="C172" s="142"/>
      <c r="D172" s="506">
        <f>VLOOKUP(C172,'Seznam HS - nemaš'!$A$1:$B$96,2,FALSE)</f>
        <v>0</v>
      </c>
      <c r="E172" s="277" t="s">
        <v>1711</v>
      </c>
      <c r="F172" s="301" t="s">
        <v>329</v>
      </c>
      <c r="G172" s="301" t="s">
        <v>377</v>
      </c>
      <c r="H172" s="30">
        <f>+IF(ISBLANK(I172),0,VLOOKUP(I172,'8Příloha_2_ceník_pravid_úklid'!$B$9:$C$30,2,0))</f>
        <v>4</v>
      </c>
      <c r="I172" s="143" t="s">
        <v>9</v>
      </c>
      <c r="J172" s="145">
        <v>20.6</v>
      </c>
      <c r="K172" s="275" t="s">
        <v>460</v>
      </c>
      <c r="L172" s="156" t="s">
        <v>634</v>
      </c>
      <c r="M172" s="22" t="s">
        <v>49</v>
      </c>
      <c r="N172" s="19">
        <f>IF((VLOOKUP(I172,'8Příloha_2_ceník_pravid_úklid'!$B$9:$I$30,8,0))=0,VLOOKUP(I172,'8Příloha_2_ceník_pravid_úklid'!$B$9:$K$30,10,0),VLOOKUP(I172,'8Příloha_2_ceník_pravid_úklid'!$B$9:$I$30,8,0))</f>
        <v>0</v>
      </c>
      <c r="O172" s="20">
        <v>1</v>
      </c>
      <c r="P172" s="20">
        <f>1/5</f>
        <v>0.2</v>
      </c>
      <c r="Q172" s="20">
        <v>0</v>
      </c>
      <c r="R172" s="20">
        <v>0</v>
      </c>
      <c r="S172" s="21">
        <f>NETWORKDAYS.INTL(DATE(2018,1,1),DATE(2018,12,31),1,{"2018/1/1";"2018/3/30";"2018/4/2";"2018/5/1";"2018/5/8";"2018/7/5";"2018/7/6";"2018/09/28";"2018/11/17";"2018/12/24";"2018/12/25";"2018/12/26"})</f>
        <v>250</v>
      </c>
      <c r="T172" s="21">
        <f t="shared" si="19"/>
        <v>115</v>
      </c>
      <c r="U172" s="21">
        <f t="shared" si="20"/>
        <v>365</v>
      </c>
      <c r="V172" s="311">
        <f t="shared" si="16"/>
        <v>50</v>
      </c>
      <c r="W172" s="308">
        <f t="shared" si="17"/>
        <v>0</v>
      </c>
      <c r="X172" s="583">
        <f t="shared" si="18"/>
        <v>0</v>
      </c>
      <c r="Y172" s="189">
        <v>0</v>
      </c>
    </row>
    <row r="173" spans="1:25" ht="15" x14ac:dyDescent="0.2">
      <c r="A173" s="138" t="s">
        <v>628</v>
      </c>
      <c r="B173" s="142" t="s">
        <v>629</v>
      </c>
      <c r="C173" s="142"/>
      <c r="D173" s="506">
        <f>VLOOKUP(C173,'Seznam HS - nemaš'!$A$1:$B$96,2,FALSE)</f>
        <v>0</v>
      </c>
      <c r="E173" s="277" t="s">
        <v>1709</v>
      </c>
      <c r="F173" s="301" t="s">
        <v>53</v>
      </c>
      <c r="G173" s="301" t="s">
        <v>378</v>
      </c>
      <c r="H173" s="30">
        <f>+IF(ISBLANK(I173),0,VLOOKUP(I173,'8Příloha_2_ceník_pravid_úklid'!$B$9:$C$30,2,0))</f>
        <v>6</v>
      </c>
      <c r="I173" s="143" t="s">
        <v>1</v>
      </c>
      <c r="J173" s="145">
        <v>16.38</v>
      </c>
      <c r="K173" s="275" t="s">
        <v>50</v>
      </c>
      <c r="L173" s="156" t="s">
        <v>21</v>
      </c>
      <c r="M173" s="22" t="s">
        <v>49</v>
      </c>
      <c r="N173" s="19">
        <f>IF((VLOOKUP(I173,'8Příloha_2_ceník_pravid_úklid'!$B$9:$I$30,8,0))=0,VLOOKUP(I173,'8Příloha_2_ceník_pravid_úklid'!$B$9:$K$30,10,0),VLOOKUP(I173,'8Příloha_2_ceník_pravid_úklid'!$B$9:$I$30,8,0))</f>
        <v>0</v>
      </c>
      <c r="O173" s="20">
        <v>1</v>
      </c>
      <c r="P173" s="20">
        <v>1</v>
      </c>
      <c r="Q173" s="20">
        <v>0</v>
      </c>
      <c r="R173" s="20">
        <v>0</v>
      </c>
      <c r="S173" s="21">
        <f>NETWORKDAYS.INTL(DATE(2018,1,1),DATE(2018,12,31),1,{"2018/1/1";"2018/3/30";"2018/4/2";"2018/5/1";"2018/5/8";"2018/7/5";"2018/7/6";"2018/09/28";"2018/11/17";"2018/12/24";"2018/12/25";"2018/12/26"})</f>
        <v>250</v>
      </c>
      <c r="T173" s="21">
        <f t="shared" si="19"/>
        <v>115</v>
      </c>
      <c r="U173" s="21">
        <f t="shared" si="20"/>
        <v>365</v>
      </c>
      <c r="V173" s="311">
        <f t="shared" si="16"/>
        <v>250</v>
      </c>
      <c r="W173" s="308">
        <f t="shared" si="17"/>
        <v>0</v>
      </c>
      <c r="X173" s="583">
        <f t="shared" si="18"/>
        <v>0</v>
      </c>
      <c r="Y173" s="189">
        <v>0</v>
      </c>
    </row>
    <row r="174" spans="1:25" ht="15" x14ac:dyDescent="0.2">
      <c r="A174" s="157" t="s">
        <v>628</v>
      </c>
      <c r="B174" s="158" t="s">
        <v>629</v>
      </c>
      <c r="C174" s="158"/>
      <c r="D174" s="212">
        <f>VLOOKUP(C174,'Seznam HS - nemaš'!$A$1:$B$96,2,FALSE)</f>
        <v>0</v>
      </c>
      <c r="E174" s="278" t="s">
        <v>1718</v>
      </c>
      <c r="F174" s="316" t="s">
        <v>463</v>
      </c>
      <c r="G174" s="316" t="s">
        <v>632</v>
      </c>
      <c r="H174" s="161">
        <f>+IF(ISBLANK(I174),0,VLOOKUP(I174,'8Příloha_2_ceník_pravid_úklid'!$B$9:$C$30,2,0))</f>
        <v>17</v>
      </c>
      <c r="I174" s="162" t="s">
        <v>13</v>
      </c>
      <c r="J174" s="163">
        <v>105</v>
      </c>
      <c r="K174" s="288" t="s">
        <v>64</v>
      </c>
      <c r="L174" s="164" t="s">
        <v>631</v>
      </c>
      <c r="M174" s="159" t="s">
        <v>49</v>
      </c>
      <c r="N174" s="165">
        <f>IF((VLOOKUP(I174,'8Příloha_2_ceník_pravid_úklid'!$B$9:$I$30,8,0))=0,VLOOKUP(I174,'8Příloha_2_ceník_pravid_úklid'!$B$9:$K$30,10,0),VLOOKUP(I174,'8Příloha_2_ceník_pravid_úklid'!$B$9:$I$30,8,0))</f>
        <v>0</v>
      </c>
      <c r="O174" s="166">
        <v>1</v>
      </c>
      <c r="P174" s="563">
        <f>1/21</f>
        <v>4.7619047619047616E-2</v>
      </c>
      <c r="Q174" s="166">
        <v>0</v>
      </c>
      <c r="R174" s="166">
        <v>0</v>
      </c>
      <c r="S174" s="167">
        <f>NETWORKDAYS.INTL(DATE(2018,1,1),DATE(2018,12,31),1,{"2018/1/1";"2018/3/30";"2018/4/2";"2018/5/1";"2018/5/8";"2018/7/5";"2018/7/6";"2018/09/28";"2018/11/17";"2018/12/24";"2018/12/25";"2018/12/26"})</f>
        <v>250</v>
      </c>
      <c r="T174" s="167">
        <f t="shared" si="19"/>
        <v>115</v>
      </c>
      <c r="U174" s="167">
        <f t="shared" si="20"/>
        <v>365</v>
      </c>
      <c r="V174" s="313">
        <f t="shared" si="16"/>
        <v>11.9</v>
      </c>
      <c r="W174" s="317">
        <f t="shared" si="17"/>
        <v>0</v>
      </c>
      <c r="X174" s="585">
        <f t="shared" si="18"/>
        <v>0</v>
      </c>
      <c r="Y174" s="598">
        <v>0</v>
      </c>
    </row>
    <row r="189" spans="10:10" x14ac:dyDescent="0.2">
      <c r="J189" s="290"/>
    </row>
    <row r="190" spans="10:10" x14ac:dyDescent="0.2">
      <c r="J190" s="290"/>
    </row>
  </sheetData>
  <sheetProtection password="CA8C" sheet="1" objects="1" scenarios="1" formatCells="0" formatColumns="0" formatRows="0" autoFilter="0"/>
  <mergeCells count="24">
    <mergeCell ref="L2:L3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K2"/>
    <mergeCell ref="Y2:Y3"/>
    <mergeCell ref="X2:X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</mergeCells>
  <conditionalFormatting sqref="W2:X2">
    <cfRule type="cellIs" dxfId="9" priority="3" stopIfTrue="1" operator="equal">
      <formula>0</formula>
    </cfRule>
  </conditionalFormatting>
  <conditionalFormatting sqref="Y2">
    <cfRule type="cellIs" dxfId="8" priority="1" stopIfTrue="1" operator="equal">
      <formula>0</formula>
    </cfRule>
  </conditionalFormatting>
  <dataValidations count="1">
    <dataValidation type="list" allowBlank="1" showInputMessage="1" showErrorMessage="1" sqref="C6:C174">
      <formula1>HS0</formula1>
    </dataValidation>
  </dataValidations>
  <pageMargins left="0.51181102362204722" right="0.31496062992125984" top="0.78740157480314965" bottom="0.78740157480314965" header="0.31496062992125984" footer="0.31496062992125984"/>
  <pageSetup paperSize="9" scale="50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87"/>
  <sheetViews>
    <sheetView zoomScale="55" zoomScaleNormal="55" workbookViewId="0">
      <selection activeCell="A9" sqref="A9"/>
    </sheetView>
  </sheetViews>
  <sheetFormatPr defaultRowHeight="12.75" x14ac:dyDescent="0.2"/>
  <cols>
    <col min="1" max="2" width="9.140625" style="1"/>
    <col min="3" max="3" width="19.5703125" style="1" customWidth="1"/>
    <col min="4" max="4" width="18.7109375" style="1" bestFit="1" customWidth="1"/>
    <col min="5" max="5" width="10.5703125" style="1" bestFit="1" customWidth="1"/>
    <col min="6" max="6" width="19.7109375" style="1" customWidth="1"/>
    <col min="7" max="7" width="10.42578125" style="1" customWidth="1"/>
    <col min="8" max="8" width="5" style="413" bestFit="1" customWidth="1"/>
    <col min="9" max="13" width="9.140625" style="1"/>
    <col min="14" max="14" width="9.140625" style="413"/>
    <col min="15" max="22" width="9.140625" style="1"/>
    <col min="23" max="24" width="11.28515625" style="1" customWidth="1"/>
    <col min="25" max="25" width="12.5703125" style="1" customWidth="1"/>
    <col min="26" max="26" width="10.28515625" style="1" bestFit="1" customWidth="1"/>
    <col min="27" max="16384" width="9.140625" style="1"/>
  </cols>
  <sheetData>
    <row r="1" spans="1:25" ht="16.5" thickBot="1" x14ac:dyDescent="0.3">
      <c r="A1" s="14" t="s">
        <v>642</v>
      </c>
      <c r="B1" s="213"/>
      <c r="C1" s="213"/>
      <c r="D1" s="213"/>
      <c r="E1" s="213"/>
      <c r="F1" s="15"/>
      <c r="G1" s="15"/>
      <c r="H1" s="319"/>
      <c r="I1" s="15"/>
      <c r="J1" s="15"/>
      <c r="K1" s="15"/>
      <c r="L1" s="15"/>
      <c r="M1" s="15"/>
      <c r="N1" s="319"/>
      <c r="O1" s="15"/>
      <c r="P1" s="15"/>
      <c r="Q1" s="15"/>
      <c r="R1" s="15"/>
      <c r="S1" s="15"/>
      <c r="T1" s="15"/>
      <c r="U1" s="15"/>
      <c r="V1" s="15"/>
      <c r="W1" s="5"/>
      <c r="X1" s="5" t="s">
        <v>100</v>
      </c>
      <c r="Y1" s="6" t="s">
        <v>1778</v>
      </c>
    </row>
    <row r="2" spans="1:25" ht="33.75" customHeight="1" x14ac:dyDescent="0.2">
      <c r="A2" s="755" t="s">
        <v>73</v>
      </c>
      <c r="B2" s="752" t="s">
        <v>72</v>
      </c>
      <c r="C2" s="752" t="s">
        <v>291</v>
      </c>
      <c r="D2" s="752" t="s">
        <v>292</v>
      </c>
      <c r="E2" s="752" t="s">
        <v>62</v>
      </c>
      <c r="F2" s="752" t="s">
        <v>61</v>
      </c>
      <c r="G2" s="752" t="s">
        <v>60</v>
      </c>
      <c r="H2" s="763" t="s">
        <v>98</v>
      </c>
      <c r="I2" s="752" t="s">
        <v>97</v>
      </c>
      <c r="J2" s="754" t="s">
        <v>71</v>
      </c>
      <c r="K2" s="754"/>
      <c r="L2" s="752" t="s">
        <v>59</v>
      </c>
      <c r="M2" s="752" t="s">
        <v>57</v>
      </c>
      <c r="N2" s="763" t="s">
        <v>643</v>
      </c>
      <c r="O2" s="752" t="s">
        <v>103</v>
      </c>
      <c r="P2" s="752" t="s">
        <v>104</v>
      </c>
      <c r="Q2" s="752" t="s">
        <v>105</v>
      </c>
      <c r="R2" s="752" t="s">
        <v>106</v>
      </c>
      <c r="S2" s="752" t="s">
        <v>107</v>
      </c>
      <c r="T2" s="752" t="s">
        <v>108</v>
      </c>
      <c r="U2" s="752" t="s">
        <v>109</v>
      </c>
      <c r="V2" s="752" t="s">
        <v>110</v>
      </c>
      <c r="W2" s="752" t="s">
        <v>1744</v>
      </c>
      <c r="X2" s="750" t="s">
        <v>1745</v>
      </c>
      <c r="Y2" s="750" t="s">
        <v>1746</v>
      </c>
    </row>
    <row r="3" spans="1:25" ht="33.75" customHeight="1" thickBot="1" x14ac:dyDescent="0.25">
      <c r="A3" s="756"/>
      <c r="B3" s="753"/>
      <c r="C3" s="753"/>
      <c r="D3" s="753"/>
      <c r="E3" s="753"/>
      <c r="F3" s="753"/>
      <c r="G3" s="753"/>
      <c r="H3" s="764"/>
      <c r="I3" s="753"/>
      <c r="J3" s="16" t="s">
        <v>124</v>
      </c>
      <c r="K3" s="147" t="s">
        <v>58</v>
      </c>
      <c r="L3" s="753"/>
      <c r="M3" s="753"/>
      <c r="N3" s="764"/>
      <c r="O3" s="753"/>
      <c r="P3" s="753"/>
      <c r="Q3" s="753"/>
      <c r="R3" s="753"/>
      <c r="S3" s="753"/>
      <c r="T3" s="753"/>
      <c r="U3" s="753"/>
      <c r="V3" s="753"/>
      <c r="W3" s="753"/>
      <c r="X3" s="751"/>
      <c r="Y3" s="751"/>
    </row>
    <row r="4" spans="1:25" x14ac:dyDescent="0.2">
      <c r="A4" s="320"/>
      <c r="B4" s="320"/>
      <c r="C4" s="320"/>
      <c r="D4" s="320"/>
      <c r="E4" s="320"/>
      <c r="F4" s="320"/>
      <c r="G4" s="320"/>
      <c r="H4" s="320"/>
      <c r="I4" s="320"/>
      <c r="J4" s="321">
        <f>SUM(J7,J9:J10,J19,J21:J25,J34,J36:J52,J54:J59,J61:J76,J78:J82,J85:J93,J97:J100,J102,J106:J109,J111:J120,J124:J139,J141,J144:J145,J147:J149,J151:J171,J173:J187,J189:J213,J215:J221,J224:J252,J254,J270,J273:J284,J286,J288:J298,J300:J302,J305:J306,J308:J327,J329:J338,J340:J341,J343:J367,J369:J396,J398:J401,J404:J406,J444,J447:J449,J479,J481:J495,J497:J549,J552:J592,J594:J595,J603:J604,J608:J609,J612:J615,J617,J619,J621:J624,J626:J634,J637:J638,J640:J643,J645:J647,J649:J651,J653,J657:J659,J661,J663:J665,J667:J668,J672:J674,J676,J678,J680:J681,J683:J684)</f>
        <v>7044.8695000000016</v>
      </c>
      <c r="K4" s="321">
        <f>SUM(J7:J104,J106:J252,J254:J406,J412:J474,J478:J684)</f>
        <v>9152.1695000000091</v>
      </c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2">
        <f>SUM(W6:W684)</f>
        <v>0</v>
      </c>
      <c r="X4" s="322">
        <f>SUM(X6:X684)</f>
        <v>0</v>
      </c>
      <c r="Y4" s="322">
        <f>SUM(Y6:Y684)</f>
        <v>0</v>
      </c>
    </row>
    <row r="5" spans="1:25" ht="13.5" thickBot="1" x14ac:dyDescent="0.25">
      <c r="A5" s="323"/>
      <c r="B5" s="323"/>
      <c r="C5" s="323"/>
      <c r="D5" s="323"/>
      <c r="E5" s="323"/>
      <c r="F5" s="323"/>
      <c r="G5" s="323"/>
      <c r="H5" s="323"/>
      <c r="I5" s="323"/>
      <c r="J5" s="324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4"/>
      <c r="X5" s="324"/>
      <c r="Y5" s="324"/>
    </row>
    <row r="6" spans="1:25" ht="18" x14ac:dyDescent="0.2">
      <c r="A6" s="325" t="s">
        <v>644</v>
      </c>
      <c r="B6" s="326"/>
      <c r="C6" s="326"/>
      <c r="D6" s="326"/>
      <c r="E6" s="327"/>
      <c r="F6" s="328" t="s">
        <v>645</v>
      </c>
      <c r="G6" s="329" t="s">
        <v>646</v>
      </c>
      <c r="H6" s="546">
        <f>+IF(ISBLANK(I6),0,VLOOKUP(I6,'8Příloha_2_ceník_pravid_úklid'!$B$9:$C$30,2,0))</f>
        <v>21</v>
      </c>
      <c r="I6" s="330" t="s">
        <v>115</v>
      </c>
      <c r="J6" s="331">
        <f>1*3</f>
        <v>3</v>
      </c>
      <c r="K6" s="332"/>
      <c r="L6" s="329" t="s">
        <v>647</v>
      </c>
      <c r="M6" s="327"/>
      <c r="N6" s="572">
        <f>IF((VLOOKUP(I6,'8Příloha_2_ceník_pravid_úklid'!$B$9:$I$30,8,0))=0,VLOOKUP(I6,'8Příloha_2_ceník_pravid_úklid'!$B$9:$K$30,10,0),VLOOKUP(I6,'8Příloha_2_ceník_pravid_úklid'!$B$9:$I$30,8,0))</f>
        <v>0</v>
      </c>
      <c r="O6" s="333">
        <v>1</v>
      </c>
      <c r="P6" s="333">
        <v>1</v>
      </c>
      <c r="Q6" s="333">
        <v>1</v>
      </c>
      <c r="R6" s="333">
        <v>1</v>
      </c>
      <c r="S6" s="334">
        <f>NETWORKDAYS.INTL(DATE(2018,1,1),DATE(2018,12,31),1,{"2018/1/1";"2018/3/30";"2018/4/2";"2018/5/1";"2018/5/8";"2018/7/5";"2018/7/6";"2018/09/28";"2018/11/17";"2018/12/24";"2018/12/25";"2018/12/26"})</f>
        <v>250</v>
      </c>
      <c r="T6" s="334">
        <f t="shared" ref="T6:T69" si="0">U6-S6</f>
        <v>115</v>
      </c>
      <c r="U6" s="334">
        <f t="shared" ref="U6:U69" si="1">_xlfn.DAYS("1.1.2019","1.1.2018")</f>
        <v>365</v>
      </c>
      <c r="V6" s="335">
        <f t="shared" ref="V6:V69" si="2">ROUND(O6*P6*S6+Q6*R6*T6,2)</f>
        <v>365</v>
      </c>
      <c r="W6" s="336">
        <f t="shared" ref="W6:W69" si="3">ROUND(IF(N6="neoceňuje se",+J6*0*V6,J6*N6*V6),2)</f>
        <v>0</v>
      </c>
      <c r="X6" s="337">
        <f t="shared" ref="X6:Y69" si="4">ROUND(W6*1.21,2)</f>
        <v>0</v>
      </c>
      <c r="Y6" s="614">
        <v>0</v>
      </c>
    </row>
    <row r="7" spans="1:25" ht="15" x14ac:dyDescent="0.2">
      <c r="A7" s="338" t="s">
        <v>648</v>
      </c>
      <c r="B7" s="32" t="s">
        <v>334</v>
      </c>
      <c r="C7" s="32" t="s">
        <v>223</v>
      </c>
      <c r="D7" s="139" t="str">
        <f>VLOOKUP(C7,'Seznam HS - nemaš'!$A$1:$B$96,2,FALSE)</f>
        <v>455400</v>
      </c>
      <c r="E7" s="29" t="s">
        <v>649</v>
      </c>
      <c r="F7" s="28" t="s">
        <v>650</v>
      </c>
      <c r="G7" s="28"/>
      <c r="H7" s="28">
        <f>+IF(ISBLANK(I7),0,VLOOKUP(I7,'8Příloha_2_ceník_pravid_úklid'!$B$9:$C$30,2,0))</f>
        <v>17</v>
      </c>
      <c r="I7" s="149" t="s">
        <v>13</v>
      </c>
      <c r="J7" s="172">
        <v>3.13</v>
      </c>
      <c r="K7" s="285" t="s">
        <v>651</v>
      </c>
      <c r="L7" s="292" t="s">
        <v>487</v>
      </c>
      <c r="M7" s="29" t="s">
        <v>49</v>
      </c>
      <c r="N7" s="24">
        <f>IF((VLOOKUP(I7,'8Příloha_2_ceník_pravid_úklid'!$B$9:$I$30,8,0))=0,VLOOKUP(I7,'8Příloha_2_ceník_pravid_úklid'!$B$9:$K$30,10,0),VLOOKUP(I7,'8Příloha_2_ceník_pravid_úklid'!$B$9:$I$30,8,0))</f>
        <v>0</v>
      </c>
      <c r="O7" s="25">
        <v>1</v>
      </c>
      <c r="P7" s="25">
        <f>1/5</f>
        <v>0.2</v>
      </c>
      <c r="Q7" s="25">
        <v>0</v>
      </c>
      <c r="R7" s="25">
        <v>0</v>
      </c>
      <c r="S7" s="26">
        <f>NETWORKDAYS.INTL(DATE(2018,1,1),DATE(2018,12,31),1,{"2018/1/1";"2018/3/30";"2018/4/2";"2018/5/1";"2018/5/8";"2018/7/5";"2018/7/6";"2018/09/28";"2018/11/17";"2018/12/24";"2018/12/25";"2018/12/26"})</f>
        <v>250</v>
      </c>
      <c r="T7" s="26">
        <f t="shared" si="0"/>
        <v>115</v>
      </c>
      <c r="U7" s="26">
        <f t="shared" si="1"/>
        <v>365</v>
      </c>
      <c r="V7" s="314">
        <f t="shared" si="2"/>
        <v>50</v>
      </c>
      <c r="W7" s="173">
        <f t="shared" si="3"/>
        <v>0</v>
      </c>
      <c r="X7" s="174">
        <f t="shared" si="4"/>
        <v>0</v>
      </c>
      <c r="Y7" s="234">
        <v>0</v>
      </c>
    </row>
    <row r="8" spans="1:25" ht="15" x14ac:dyDescent="0.2">
      <c r="A8" s="235" t="s">
        <v>648</v>
      </c>
      <c r="B8" s="236" t="s">
        <v>334</v>
      </c>
      <c r="C8" s="222" t="s">
        <v>223</v>
      </c>
      <c r="D8" s="535" t="str">
        <f>VLOOKUP(C8,'Seznam HS - nemaš'!$A$1:$B$96,2,FALSE)</f>
        <v>455400</v>
      </c>
      <c r="E8" s="237" t="s">
        <v>652</v>
      </c>
      <c r="F8" s="303" t="s">
        <v>398</v>
      </c>
      <c r="G8" s="303"/>
      <c r="H8" s="224">
        <f>+IF(ISBLANK(I8),0,VLOOKUP(I8,'8Příloha_2_ceník_pravid_úklid'!$B$9:$C$30,2,0))</f>
        <v>17</v>
      </c>
      <c r="I8" s="273" t="s">
        <v>13</v>
      </c>
      <c r="J8" s="241"/>
      <c r="K8" s="240"/>
      <c r="L8" s="242" t="s">
        <v>387</v>
      </c>
      <c r="M8" s="237"/>
      <c r="N8" s="229" t="s">
        <v>501</v>
      </c>
      <c r="O8" s="230">
        <v>0</v>
      </c>
      <c r="P8" s="230">
        <v>0</v>
      </c>
      <c r="Q8" s="230">
        <v>0</v>
      </c>
      <c r="R8" s="230">
        <v>0</v>
      </c>
      <c r="S8" s="231">
        <f>NETWORKDAYS.INTL(DATE(2018,1,1),DATE(2018,12,31),1,{"2018/1/1";"2018/3/30";"2018/4/2";"2018/5/1";"2018/5/8";"2018/7/5";"2018/7/6";"2018/09/28";"2018/11/17";"2018/12/24";"2018/12/25";"2018/12/26"})</f>
        <v>250</v>
      </c>
      <c r="T8" s="231">
        <f t="shared" si="0"/>
        <v>115</v>
      </c>
      <c r="U8" s="231">
        <f t="shared" si="1"/>
        <v>365</v>
      </c>
      <c r="V8" s="312">
        <f t="shared" si="2"/>
        <v>0</v>
      </c>
      <c r="W8" s="233">
        <f t="shared" si="3"/>
        <v>0</v>
      </c>
      <c r="X8" s="234">
        <f t="shared" si="4"/>
        <v>0</v>
      </c>
      <c r="Y8" s="234">
        <f t="shared" si="4"/>
        <v>0</v>
      </c>
    </row>
    <row r="9" spans="1:25" ht="15" x14ac:dyDescent="0.2">
      <c r="A9" s="276" t="s">
        <v>648</v>
      </c>
      <c r="B9" s="23" t="s">
        <v>334</v>
      </c>
      <c r="C9" s="32" t="s">
        <v>223</v>
      </c>
      <c r="D9" s="139" t="str">
        <f>VLOOKUP(C9,'Seznam HS - nemaš'!$A$1:$B$96,2,FALSE)</f>
        <v>455400</v>
      </c>
      <c r="E9" s="22" t="s">
        <v>653</v>
      </c>
      <c r="F9" s="30" t="s">
        <v>654</v>
      </c>
      <c r="G9" s="30"/>
      <c r="H9" s="28">
        <f>+IF(ISBLANK(I9),0,VLOOKUP(I9,'8Příloha_2_ceník_pravid_úklid'!$B$9:$C$30,2,0))</f>
        <v>17</v>
      </c>
      <c r="I9" s="143" t="s">
        <v>13</v>
      </c>
      <c r="J9" s="145">
        <v>7.35</v>
      </c>
      <c r="K9" s="275" t="s">
        <v>651</v>
      </c>
      <c r="L9" s="198" t="s">
        <v>487</v>
      </c>
      <c r="M9" s="22" t="s">
        <v>49</v>
      </c>
      <c r="N9" s="24">
        <f>IF((VLOOKUP(I9,'8Příloha_2_ceník_pravid_úklid'!$B$9:$I$30,8,0))=0,VLOOKUP(I9,'8Příloha_2_ceník_pravid_úklid'!$B$9:$K$30,10,0),VLOOKUP(I9,'8Příloha_2_ceník_pravid_úklid'!$B$9:$I$30,8,0))</f>
        <v>0</v>
      </c>
      <c r="O9" s="20">
        <v>1</v>
      </c>
      <c r="P9" s="20">
        <f>1/5</f>
        <v>0.2</v>
      </c>
      <c r="Q9" s="20">
        <v>0</v>
      </c>
      <c r="R9" s="20">
        <v>0</v>
      </c>
      <c r="S9" s="21">
        <f>NETWORKDAYS.INTL(DATE(2018,1,1),DATE(2018,12,31),1,{"2018/1/1";"2018/3/30";"2018/4/2";"2018/5/1";"2018/5/8";"2018/7/5";"2018/7/6";"2018/09/28";"2018/11/17";"2018/12/24";"2018/12/25";"2018/12/26"})</f>
        <v>250</v>
      </c>
      <c r="T9" s="21">
        <f t="shared" si="0"/>
        <v>115</v>
      </c>
      <c r="U9" s="21">
        <f t="shared" si="1"/>
        <v>365</v>
      </c>
      <c r="V9" s="311">
        <f t="shared" si="2"/>
        <v>50</v>
      </c>
      <c r="W9" s="140">
        <f t="shared" si="3"/>
        <v>0</v>
      </c>
      <c r="X9" s="141">
        <f t="shared" si="4"/>
        <v>0</v>
      </c>
      <c r="Y9" s="234">
        <v>0</v>
      </c>
    </row>
    <row r="10" spans="1:25" ht="15" x14ac:dyDescent="0.2">
      <c r="A10" s="276" t="s">
        <v>648</v>
      </c>
      <c r="B10" s="23" t="s">
        <v>334</v>
      </c>
      <c r="C10" s="32" t="s">
        <v>223</v>
      </c>
      <c r="D10" s="139" t="str">
        <f>VLOOKUP(C10,'Seznam HS - nemaš'!$A$1:$B$96,2,FALSE)</f>
        <v>455400</v>
      </c>
      <c r="E10" s="22" t="s">
        <v>655</v>
      </c>
      <c r="F10" s="30" t="s">
        <v>329</v>
      </c>
      <c r="G10" s="30" t="s">
        <v>656</v>
      </c>
      <c r="H10" s="28">
        <f>+IF(ISBLANK(I10),0,VLOOKUP(I10,'8Příloha_2_ceník_pravid_úklid'!$B$9:$C$30,2,0))</f>
        <v>4</v>
      </c>
      <c r="I10" s="143" t="s">
        <v>9</v>
      </c>
      <c r="J10" s="145">
        <v>3.39</v>
      </c>
      <c r="K10" s="275" t="s">
        <v>51</v>
      </c>
      <c r="L10" s="198" t="s">
        <v>487</v>
      </c>
      <c r="M10" s="22" t="s">
        <v>49</v>
      </c>
      <c r="N10" s="24">
        <f>IF((VLOOKUP(I10,'8Příloha_2_ceník_pravid_úklid'!$B$9:$I$30,8,0))=0,VLOOKUP(I10,'8Příloha_2_ceník_pravid_úklid'!$B$9:$K$30,10,0),VLOOKUP(I10,'8Příloha_2_ceník_pravid_úklid'!$B$9:$I$30,8,0))</f>
        <v>0</v>
      </c>
      <c r="O10" s="20">
        <v>1</v>
      </c>
      <c r="P10" s="20">
        <f>1/5</f>
        <v>0.2</v>
      </c>
      <c r="Q10" s="20">
        <v>0</v>
      </c>
      <c r="R10" s="20">
        <v>0</v>
      </c>
      <c r="S10" s="21">
        <f>NETWORKDAYS.INTL(DATE(2018,1,1),DATE(2018,12,31),1,{"2018/1/1";"2018/3/30";"2018/4/2";"2018/5/1";"2018/5/8";"2018/7/5";"2018/7/6";"2018/09/28";"2018/11/17";"2018/12/24";"2018/12/25";"2018/12/26"})</f>
        <v>250</v>
      </c>
      <c r="T10" s="21">
        <f t="shared" si="0"/>
        <v>115</v>
      </c>
      <c r="U10" s="21">
        <f t="shared" si="1"/>
        <v>365</v>
      </c>
      <c r="V10" s="311">
        <f t="shared" si="2"/>
        <v>50</v>
      </c>
      <c r="W10" s="140">
        <f t="shared" si="3"/>
        <v>0</v>
      </c>
      <c r="X10" s="141">
        <f t="shared" si="4"/>
        <v>0</v>
      </c>
      <c r="Y10" s="141">
        <v>0</v>
      </c>
    </row>
    <row r="11" spans="1:25" ht="15" x14ac:dyDescent="0.2">
      <c r="A11" s="235" t="s">
        <v>657</v>
      </c>
      <c r="B11" s="236" t="s">
        <v>334</v>
      </c>
      <c r="C11" s="236" t="s">
        <v>248</v>
      </c>
      <c r="D11" s="535" t="str">
        <f>VLOOKUP(C11,'Seznam HS - nemaš'!$A$1:$B$96,2,FALSE)</f>
        <v>483020</v>
      </c>
      <c r="E11" s="237" t="s">
        <v>658</v>
      </c>
      <c r="F11" s="303" t="s">
        <v>659</v>
      </c>
      <c r="G11" s="303"/>
      <c r="H11" s="224">
        <f>+IF(ISBLANK(I11),0,VLOOKUP(I11,'8Příloha_2_ceník_pravid_úklid'!$B$9:$C$30,2,0))</f>
        <v>0</v>
      </c>
      <c r="I11" s="273"/>
      <c r="J11" s="241">
        <v>19.850000000000001</v>
      </c>
      <c r="K11" s="240"/>
      <c r="L11" s="242" t="s">
        <v>387</v>
      </c>
      <c r="M11" s="237"/>
      <c r="N11" s="229" t="s">
        <v>501</v>
      </c>
      <c r="O11" s="230">
        <v>0</v>
      </c>
      <c r="P11" s="230">
        <v>0</v>
      </c>
      <c r="Q11" s="230">
        <v>0</v>
      </c>
      <c r="R11" s="230">
        <v>0</v>
      </c>
      <c r="S11" s="231">
        <f>NETWORKDAYS.INTL(DATE(2018,1,1),DATE(2018,12,31),1,{"2018/1/1";"2018/3/30";"2018/4/2";"2018/5/1";"2018/5/8";"2018/7/5";"2018/7/6";"2018/09/28";"2018/11/17";"2018/12/24";"2018/12/25";"2018/12/26"})</f>
        <v>250</v>
      </c>
      <c r="T11" s="231">
        <f t="shared" si="0"/>
        <v>115</v>
      </c>
      <c r="U11" s="231">
        <f t="shared" si="1"/>
        <v>365</v>
      </c>
      <c r="V11" s="312">
        <f t="shared" si="2"/>
        <v>0</v>
      </c>
      <c r="W11" s="233">
        <f t="shared" si="3"/>
        <v>0</v>
      </c>
      <c r="X11" s="234">
        <f t="shared" si="4"/>
        <v>0</v>
      </c>
      <c r="Y11" s="234">
        <f t="shared" si="4"/>
        <v>0</v>
      </c>
    </row>
    <row r="12" spans="1:25" ht="15" x14ac:dyDescent="0.2">
      <c r="A12" s="235" t="s">
        <v>657</v>
      </c>
      <c r="B12" s="236" t="s">
        <v>334</v>
      </c>
      <c r="C12" s="236" t="s">
        <v>250</v>
      </c>
      <c r="D12" s="535" t="str">
        <f>VLOOKUP(C12,'Seznam HS - nemaš'!$A$1:$B$96,2,FALSE)</f>
        <v>483021</v>
      </c>
      <c r="E12" s="237" t="s">
        <v>660</v>
      </c>
      <c r="F12" s="303" t="s">
        <v>389</v>
      </c>
      <c r="G12" s="303" t="s">
        <v>661</v>
      </c>
      <c r="H12" s="224">
        <f>+IF(ISBLANK(I12),0,VLOOKUP(I12,'8Příloha_2_ceník_pravid_úklid'!$B$9:$C$30,2,0))</f>
        <v>0</v>
      </c>
      <c r="I12" s="273"/>
      <c r="J12" s="241">
        <v>128.94999999999999</v>
      </c>
      <c r="K12" s="240"/>
      <c r="L12" s="242" t="s">
        <v>387</v>
      </c>
      <c r="M12" s="237"/>
      <c r="N12" s="229" t="s">
        <v>501</v>
      </c>
      <c r="O12" s="230">
        <v>0</v>
      </c>
      <c r="P12" s="230">
        <v>0</v>
      </c>
      <c r="Q12" s="230">
        <v>0</v>
      </c>
      <c r="R12" s="230">
        <v>0</v>
      </c>
      <c r="S12" s="231">
        <f>NETWORKDAYS.INTL(DATE(2018,1,1),DATE(2018,12,31),1,{"2018/1/1";"2018/3/30";"2018/4/2";"2018/5/1";"2018/5/8";"2018/7/5";"2018/7/6";"2018/09/28";"2018/11/17";"2018/12/24";"2018/12/25";"2018/12/26"})</f>
        <v>250</v>
      </c>
      <c r="T12" s="231">
        <f t="shared" si="0"/>
        <v>115</v>
      </c>
      <c r="U12" s="231">
        <f t="shared" si="1"/>
        <v>365</v>
      </c>
      <c r="V12" s="312">
        <f t="shared" si="2"/>
        <v>0</v>
      </c>
      <c r="W12" s="233">
        <f t="shared" si="3"/>
        <v>0</v>
      </c>
      <c r="X12" s="234">
        <f t="shared" si="4"/>
        <v>0</v>
      </c>
      <c r="Y12" s="234">
        <f t="shared" si="4"/>
        <v>0</v>
      </c>
    </row>
    <row r="13" spans="1:25" ht="15" x14ac:dyDescent="0.2">
      <c r="A13" s="235" t="s">
        <v>657</v>
      </c>
      <c r="B13" s="236" t="s">
        <v>334</v>
      </c>
      <c r="C13" s="236" t="s">
        <v>248</v>
      </c>
      <c r="D13" s="535" t="str">
        <f>VLOOKUP(C13,'Seznam HS - nemaš'!$A$1:$B$96,2,FALSE)</f>
        <v>483020</v>
      </c>
      <c r="E13" s="237" t="s">
        <v>662</v>
      </c>
      <c r="F13" s="303" t="s">
        <v>505</v>
      </c>
      <c r="G13" s="303" t="s">
        <v>663</v>
      </c>
      <c r="H13" s="224">
        <f>+IF(ISBLANK(I13),0,VLOOKUP(I13,'8Příloha_2_ceník_pravid_úklid'!$B$9:$C$30,2,0))</f>
        <v>0</v>
      </c>
      <c r="I13" s="273"/>
      <c r="J13" s="241">
        <v>40.369999999999997</v>
      </c>
      <c r="K13" s="240"/>
      <c r="L13" s="242" t="s">
        <v>387</v>
      </c>
      <c r="M13" s="237"/>
      <c r="N13" s="229" t="s">
        <v>501</v>
      </c>
      <c r="O13" s="230">
        <v>0</v>
      </c>
      <c r="P13" s="230">
        <v>0</v>
      </c>
      <c r="Q13" s="230">
        <v>0</v>
      </c>
      <c r="R13" s="230">
        <v>0</v>
      </c>
      <c r="S13" s="231">
        <f>NETWORKDAYS.INTL(DATE(2018,1,1),DATE(2018,12,31),1,{"2018/1/1";"2018/3/30";"2018/4/2";"2018/5/1";"2018/5/8";"2018/7/5";"2018/7/6";"2018/09/28";"2018/11/17";"2018/12/24";"2018/12/25";"2018/12/26"})</f>
        <v>250</v>
      </c>
      <c r="T13" s="231">
        <f t="shared" si="0"/>
        <v>115</v>
      </c>
      <c r="U13" s="231">
        <f t="shared" si="1"/>
        <v>365</v>
      </c>
      <c r="V13" s="312">
        <f t="shared" si="2"/>
        <v>0</v>
      </c>
      <c r="W13" s="233">
        <f t="shared" si="3"/>
        <v>0</v>
      </c>
      <c r="X13" s="234">
        <f t="shared" si="4"/>
        <v>0</v>
      </c>
      <c r="Y13" s="234">
        <f t="shared" si="4"/>
        <v>0</v>
      </c>
    </row>
    <row r="14" spans="1:25" ht="15" x14ac:dyDescent="0.2">
      <c r="A14" s="235" t="s">
        <v>657</v>
      </c>
      <c r="B14" s="236" t="s">
        <v>334</v>
      </c>
      <c r="C14" s="236" t="s">
        <v>248</v>
      </c>
      <c r="D14" s="535" t="str">
        <f>VLOOKUP(C14,'Seznam HS - nemaš'!$A$1:$B$96,2,FALSE)</f>
        <v>483020</v>
      </c>
      <c r="E14" s="237" t="s">
        <v>664</v>
      </c>
      <c r="F14" s="303" t="s">
        <v>329</v>
      </c>
      <c r="G14" s="303" t="s">
        <v>665</v>
      </c>
      <c r="H14" s="224">
        <f>+IF(ISBLANK(I14),0,VLOOKUP(I14,'8Příloha_2_ceník_pravid_úklid'!$B$9:$C$30,2,0))</f>
        <v>0</v>
      </c>
      <c r="I14" s="273"/>
      <c r="J14" s="241">
        <v>15.2</v>
      </c>
      <c r="K14" s="240"/>
      <c r="L14" s="242" t="s">
        <v>387</v>
      </c>
      <c r="M14" s="237"/>
      <c r="N14" s="229" t="s">
        <v>501</v>
      </c>
      <c r="O14" s="230">
        <v>0</v>
      </c>
      <c r="P14" s="230">
        <v>0</v>
      </c>
      <c r="Q14" s="230">
        <v>0</v>
      </c>
      <c r="R14" s="230">
        <v>0</v>
      </c>
      <c r="S14" s="231">
        <f>NETWORKDAYS.INTL(DATE(2018,1,1),DATE(2018,12,31),1,{"2018/1/1";"2018/3/30";"2018/4/2";"2018/5/1";"2018/5/8";"2018/7/5";"2018/7/6";"2018/09/28";"2018/11/17";"2018/12/24";"2018/12/25";"2018/12/26"})</f>
        <v>250</v>
      </c>
      <c r="T14" s="231">
        <f t="shared" si="0"/>
        <v>115</v>
      </c>
      <c r="U14" s="231">
        <f t="shared" si="1"/>
        <v>365</v>
      </c>
      <c r="V14" s="312">
        <f t="shared" si="2"/>
        <v>0</v>
      </c>
      <c r="W14" s="233">
        <f t="shared" si="3"/>
        <v>0</v>
      </c>
      <c r="X14" s="234">
        <f t="shared" si="4"/>
        <v>0</v>
      </c>
      <c r="Y14" s="234">
        <f t="shared" si="4"/>
        <v>0</v>
      </c>
    </row>
    <row r="15" spans="1:25" ht="15" x14ac:dyDescent="0.2">
      <c r="A15" s="235" t="s">
        <v>657</v>
      </c>
      <c r="B15" s="236" t="s">
        <v>334</v>
      </c>
      <c r="C15" s="236" t="s">
        <v>248</v>
      </c>
      <c r="D15" s="535" t="str">
        <f>VLOOKUP(C15,'Seznam HS - nemaš'!$A$1:$B$96,2,FALSE)</f>
        <v>483020</v>
      </c>
      <c r="E15" s="237" t="s">
        <v>666</v>
      </c>
      <c r="F15" s="303" t="s">
        <v>420</v>
      </c>
      <c r="G15" s="303"/>
      <c r="H15" s="224">
        <f>+IF(ISBLANK(I15),0,VLOOKUP(I15,'8Příloha_2_ceník_pravid_úklid'!$B$9:$C$30,2,0))</f>
        <v>0</v>
      </c>
      <c r="I15" s="273"/>
      <c r="J15" s="241">
        <v>4.78</v>
      </c>
      <c r="K15" s="240"/>
      <c r="L15" s="242" t="s">
        <v>387</v>
      </c>
      <c r="M15" s="237"/>
      <c r="N15" s="229" t="s">
        <v>501</v>
      </c>
      <c r="O15" s="230">
        <v>0</v>
      </c>
      <c r="P15" s="230">
        <v>0</v>
      </c>
      <c r="Q15" s="230">
        <v>0</v>
      </c>
      <c r="R15" s="230">
        <v>0</v>
      </c>
      <c r="S15" s="231">
        <f>NETWORKDAYS.INTL(DATE(2018,1,1),DATE(2018,12,31),1,{"2018/1/1";"2018/3/30";"2018/4/2";"2018/5/1";"2018/5/8";"2018/7/5";"2018/7/6";"2018/09/28";"2018/11/17";"2018/12/24";"2018/12/25";"2018/12/26"})</f>
        <v>250</v>
      </c>
      <c r="T15" s="231">
        <f t="shared" si="0"/>
        <v>115</v>
      </c>
      <c r="U15" s="231">
        <f t="shared" si="1"/>
        <v>365</v>
      </c>
      <c r="V15" s="312">
        <f t="shared" si="2"/>
        <v>0</v>
      </c>
      <c r="W15" s="233">
        <f t="shared" si="3"/>
        <v>0</v>
      </c>
      <c r="X15" s="234">
        <f t="shared" si="4"/>
        <v>0</v>
      </c>
      <c r="Y15" s="234">
        <f t="shared" si="4"/>
        <v>0</v>
      </c>
    </row>
    <row r="16" spans="1:25" ht="15" x14ac:dyDescent="0.2">
      <c r="A16" s="235" t="s">
        <v>657</v>
      </c>
      <c r="B16" s="236" t="s">
        <v>334</v>
      </c>
      <c r="C16" s="236" t="s">
        <v>248</v>
      </c>
      <c r="D16" s="535" t="str">
        <f>VLOOKUP(C16,'Seznam HS - nemaš'!$A$1:$B$96,2,FALSE)</f>
        <v>483020</v>
      </c>
      <c r="E16" s="237" t="s">
        <v>667</v>
      </c>
      <c r="F16" s="303" t="s">
        <v>357</v>
      </c>
      <c r="G16" s="303"/>
      <c r="H16" s="224">
        <f>+IF(ISBLANK(I16),0,VLOOKUP(I16,'8Příloha_2_ceník_pravid_úklid'!$B$9:$C$30,2,0))</f>
        <v>0</v>
      </c>
      <c r="I16" s="273"/>
      <c r="J16" s="241">
        <v>3.07</v>
      </c>
      <c r="K16" s="240"/>
      <c r="L16" s="242" t="s">
        <v>387</v>
      </c>
      <c r="M16" s="237"/>
      <c r="N16" s="229" t="s">
        <v>501</v>
      </c>
      <c r="O16" s="230">
        <v>0</v>
      </c>
      <c r="P16" s="230">
        <v>0</v>
      </c>
      <c r="Q16" s="230">
        <v>0</v>
      </c>
      <c r="R16" s="230">
        <v>0</v>
      </c>
      <c r="S16" s="231">
        <f>NETWORKDAYS.INTL(DATE(2018,1,1),DATE(2018,12,31),1,{"2018/1/1";"2018/3/30";"2018/4/2";"2018/5/1";"2018/5/8";"2018/7/5";"2018/7/6";"2018/09/28";"2018/11/17";"2018/12/24";"2018/12/25";"2018/12/26"})</f>
        <v>250</v>
      </c>
      <c r="T16" s="231">
        <f t="shared" si="0"/>
        <v>115</v>
      </c>
      <c r="U16" s="231">
        <f t="shared" si="1"/>
        <v>365</v>
      </c>
      <c r="V16" s="312">
        <f t="shared" si="2"/>
        <v>0</v>
      </c>
      <c r="W16" s="233">
        <f t="shared" si="3"/>
        <v>0</v>
      </c>
      <c r="X16" s="234">
        <f t="shared" si="4"/>
        <v>0</v>
      </c>
      <c r="Y16" s="234">
        <f t="shared" si="4"/>
        <v>0</v>
      </c>
    </row>
    <row r="17" spans="1:25" ht="15" x14ac:dyDescent="0.2">
      <c r="A17" s="235" t="s">
        <v>657</v>
      </c>
      <c r="B17" s="236" t="s">
        <v>334</v>
      </c>
      <c r="C17" s="236" t="s">
        <v>248</v>
      </c>
      <c r="D17" s="535" t="str">
        <f>VLOOKUP(C17,'Seznam HS - nemaš'!$A$1:$B$96,2,FALSE)</f>
        <v>483020</v>
      </c>
      <c r="E17" s="237" t="s">
        <v>668</v>
      </c>
      <c r="F17" s="303" t="s">
        <v>494</v>
      </c>
      <c r="G17" s="303"/>
      <c r="H17" s="224">
        <f>+IF(ISBLANK(I17),0,VLOOKUP(I17,'8Příloha_2_ceník_pravid_úklid'!$B$9:$C$30,2,0))</f>
        <v>0</v>
      </c>
      <c r="I17" s="273"/>
      <c r="J17" s="241">
        <v>7.42</v>
      </c>
      <c r="K17" s="240"/>
      <c r="L17" s="242" t="s">
        <v>387</v>
      </c>
      <c r="M17" s="237"/>
      <c r="N17" s="229" t="s">
        <v>501</v>
      </c>
      <c r="O17" s="230">
        <v>0</v>
      </c>
      <c r="P17" s="230">
        <v>0</v>
      </c>
      <c r="Q17" s="230">
        <v>0</v>
      </c>
      <c r="R17" s="230">
        <v>0</v>
      </c>
      <c r="S17" s="231">
        <f>NETWORKDAYS.INTL(DATE(2018,1,1),DATE(2018,12,31),1,{"2018/1/1";"2018/3/30";"2018/4/2";"2018/5/1";"2018/5/8";"2018/7/5";"2018/7/6";"2018/09/28";"2018/11/17";"2018/12/24";"2018/12/25";"2018/12/26"})</f>
        <v>250</v>
      </c>
      <c r="T17" s="231">
        <f t="shared" si="0"/>
        <v>115</v>
      </c>
      <c r="U17" s="231">
        <f t="shared" si="1"/>
        <v>365</v>
      </c>
      <c r="V17" s="312">
        <f t="shared" si="2"/>
        <v>0</v>
      </c>
      <c r="W17" s="233">
        <f t="shared" si="3"/>
        <v>0</v>
      </c>
      <c r="X17" s="234">
        <f t="shared" si="4"/>
        <v>0</v>
      </c>
      <c r="Y17" s="234">
        <f t="shared" si="4"/>
        <v>0</v>
      </c>
    </row>
    <row r="18" spans="1:25" ht="15" x14ac:dyDescent="0.2">
      <c r="A18" s="235" t="s">
        <v>657</v>
      </c>
      <c r="B18" s="236" t="s">
        <v>334</v>
      </c>
      <c r="C18" s="236">
        <v>0</v>
      </c>
      <c r="D18" s="535">
        <f>VLOOKUP(C18,'Seznam HS - nemaš'!$A$1:$B$96,2,FALSE)</f>
        <v>0</v>
      </c>
      <c r="E18" s="237" t="s">
        <v>669</v>
      </c>
      <c r="F18" s="303" t="s">
        <v>398</v>
      </c>
      <c r="G18" s="303"/>
      <c r="H18" s="224">
        <f>+IF(ISBLANK(I18),0,VLOOKUP(I18,'8Příloha_2_ceník_pravid_úklid'!$B$9:$C$30,2,0))</f>
        <v>0</v>
      </c>
      <c r="I18" s="273"/>
      <c r="J18" s="241"/>
      <c r="K18" s="240"/>
      <c r="L18" s="242" t="s">
        <v>387</v>
      </c>
      <c r="M18" s="237"/>
      <c r="N18" s="229" t="s">
        <v>501</v>
      </c>
      <c r="O18" s="230">
        <v>0</v>
      </c>
      <c r="P18" s="230">
        <v>0</v>
      </c>
      <c r="Q18" s="230">
        <v>0</v>
      </c>
      <c r="R18" s="230">
        <v>0</v>
      </c>
      <c r="S18" s="231">
        <f>NETWORKDAYS.INTL(DATE(2018,1,1),DATE(2018,12,31),1,{"2018/1/1";"2018/3/30";"2018/4/2";"2018/5/1";"2018/5/8";"2018/7/5";"2018/7/6";"2018/09/28";"2018/11/17";"2018/12/24";"2018/12/25";"2018/12/26"})</f>
        <v>250</v>
      </c>
      <c r="T18" s="231">
        <f t="shared" si="0"/>
        <v>115</v>
      </c>
      <c r="U18" s="231">
        <f t="shared" si="1"/>
        <v>365</v>
      </c>
      <c r="V18" s="312">
        <f t="shared" si="2"/>
        <v>0</v>
      </c>
      <c r="W18" s="233">
        <f t="shared" si="3"/>
        <v>0</v>
      </c>
      <c r="X18" s="234">
        <f t="shared" si="4"/>
        <v>0</v>
      </c>
      <c r="Y18" s="234">
        <f t="shared" si="4"/>
        <v>0</v>
      </c>
    </row>
    <row r="19" spans="1:25" ht="15" x14ac:dyDescent="0.2">
      <c r="A19" s="276" t="s">
        <v>670</v>
      </c>
      <c r="B19" s="23" t="s">
        <v>334</v>
      </c>
      <c r="C19" s="23" t="s">
        <v>232</v>
      </c>
      <c r="D19" s="139" t="str">
        <f>VLOOKUP(C19,'Seznam HS - nemaš'!$A$1:$B$96,2,FALSE)</f>
        <v>462600</v>
      </c>
      <c r="E19" s="22" t="s">
        <v>671</v>
      </c>
      <c r="F19" s="30" t="s">
        <v>672</v>
      </c>
      <c r="G19" s="30"/>
      <c r="H19" s="28">
        <f>+IF(ISBLANK(I19),0,VLOOKUP(I19,'8Příloha_2_ceník_pravid_úklid'!$B$9:$C$30,2,0))</f>
        <v>17</v>
      </c>
      <c r="I19" s="143" t="s">
        <v>13</v>
      </c>
      <c r="J19" s="145">
        <v>8.59</v>
      </c>
      <c r="K19" s="275" t="s">
        <v>50</v>
      </c>
      <c r="L19" s="156" t="s">
        <v>673</v>
      </c>
      <c r="M19" s="22" t="s">
        <v>49</v>
      </c>
      <c r="N19" s="24">
        <f>IF((VLOOKUP(I19,'8Příloha_2_ceník_pravid_úklid'!$B$9:$I$30,8,0))=0,VLOOKUP(I19,'8Příloha_2_ceník_pravid_úklid'!$B$9:$K$30,10,0),VLOOKUP(I19,'8Příloha_2_ceník_pravid_úklid'!$B$9:$I$30,8,0))</f>
        <v>0</v>
      </c>
      <c r="O19" s="20">
        <v>1</v>
      </c>
      <c r="P19" s="20">
        <f>2/5</f>
        <v>0.4</v>
      </c>
      <c r="Q19" s="20">
        <v>0</v>
      </c>
      <c r="R19" s="20">
        <v>0</v>
      </c>
      <c r="S19" s="21">
        <f>NETWORKDAYS.INTL(DATE(2018,1,1),DATE(2018,12,31),1,{"2018/1/1";"2018/3/30";"2018/4/2";"2018/5/1";"2018/5/8";"2018/7/5";"2018/7/6";"2018/09/28";"2018/11/17";"2018/12/24";"2018/12/25";"2018/12/26"})</f>
        <v>250</v>
      </c>
      <c r="T19" s="21">
        <f t="shared" si="0"/>
        <v>115</v>
      </c>
      <c r="U19" s="21">
        <f t="shared" si="1"/>
        <v>365</v>
      </c>
      <c r="V19" s="311">
        <f t="shared" si="2"/>
        <v>100</v>
      </c>
      <c r="W19" s="140">
        <f t="shared" si="3"/>
        <v>0</v>
      </c>
      <c r="X19" s="141">
        <f t="shared" si="4"/>
        <v>0</v>
      </c>
      <c r="Y19" s="141">
        <v>0</v>
      </c>
    </row>
    <row r="20" spans="1:25" ht="15" x14ac:dyDescent="0.2">
      <c r="A20" s="235" t="s">
        <v>670</v>
      </c>
      <c r="B20" s="236" t="s">
        <v>334</v>
      </c>
      <c r="C20" s="236"/>
      <c r="D20" s="535">
        <f>VLOOKUP(C20,'Seznam HS - nemaš'!$A$1:$B$96,2,FALSE)</f>
        <v>0</v>
      </c>
      <c r="E20" s="237" t="s">
        <v>674</v>
      </c>
      <c r="F20" s="303" t="s">
        <v>505</v>
      </c>
      <c r="G20" s="303" t="s">
        <v>506</v>
      </c>
      <c r="H20" s="224">
        <f>+IF(ISBLANK(I20),0,VLOOKUP(I20,'8Příloha_2_ceník_pravid_úklid'!$B$9:$C$30,2,0))</f>
        <v>0</v>
      </c>
      <c r="I20" s="273"/>
      <c r="J20" s="239"/>
      <c r="K20" s="240"/>
      <c r="L20" s="242" t="s">
        <v>387</v>
      </c>
      <c r="M20" s="237"/>
      <c r="N20" s="229" t="s">
        <v>501</v>
      </c>
      <c r="O20" s="230">
        <v>0</v>
      </c>
      <c r="P20" s="230">
        <v>0</v>
      </c>
      <c r="Q20" s="230">
        <v>0</v>
      </c>
      <c r="R20" s="230">
        <v>0</v>
      </c>
      <c r="S20" s="231">
        <f>NETWORKDAYS.INTL(DATE(2018,1,1),DATE(2018,12,31),1,{"2018/1/1";"2018/3/30";"2018/4/2";"2018/5/1";"2018/5/8";"2018/7/5";"2018/7/6";"2018/09/28";"2018/11/17";"2018/12/24";"2018/12/25";"2018/12/26"})</f>
        <v>250</v>
      </c>
      <c r="T20" s="231">
        <f t="shared" si="0"/>
        <v>115</v>
      </c>
      <c r="U20" s="231">
        <f t="shared" si="1"/>
        <v>365</v>
      </c>
      <c r="V20" s="312">
        <f t="shared" si="2"/>
        <v>0</v>
      </c>
      <c r="W20" s="233">
        <f t="shared" si="3"/>
        <v>0</v>
      </c>
      <c r="X20" s="234">
        <f t="shared" si="4"/>
        <v>0</v>
      </c>
      <c r="Y20" s="234">
        <f t="shared" si="4"/>
        <v>0</v>
      </c>
    </row>
    <row r="21" spans="1:25" ht="15" x14ac:dyDescent="0.2">
      <c r="A21" s="276" t="s">
        <v>675</v>
      </c>
      <c r="B21" s="23" t="s">
        <v>334</v>
      </c>
      <c r="C21" s="23" t="s">
        <v>179</v>
      </c>
      <c r="D21" s="139" t="str">
        <f>VLOOKUP(C21,'Seznam HS - nemaš'!$A$1:$B$96,2,FALSE)</f>
        <v>417200</v>
      </c>
      <c r="E21" s="22" t="s">
        <v>676</v>
      </c>
      <c r="F21" s="30" t="s">
        <v>357</v>
      </c>
      <c r="G21" s="30"/>
      <c r="H21" s="28">
        <f>+IF(ISBLANK(I21),0,VLOOKUP(I21,'8Příloha_2_ceník_pravid_úklid'!$B$9:$C$30,2,0))</f>
        <v>7</v>
      </c>
      <c r="I21" s="143" t="s">
        <v>14</v>
      </c>
      <c r="J21" s="145">
        <v>3.07</v>
      </c>
      <c r="K21" s="275" t="s">
        <v>50</v>
      </c>
      <c r="L21" s="156" t="s">
        <v>21</v>
      </c>
      <c r="M21" s="22" t="s">
        <v>49</v>
      </c>
      <c r="N21" s="24">
        <f>IF((VLOOKUP(I21,'8Příloha_2_ceník_pravid_úklid'!$B$9:$I$30,8,0))=0,VLOOKUP(I21,'8Příloha_2_ceník_pravid_úklid'!$B$9:$K$30,10,0),VLOOKUP(I21,'8Příloha_2_ceník_pravid_úklid'!$B$9:$I$30,8,0))</f>
        <v>0</v>
      </c>
      <c r="O21" s="20">
        <v>1</v>
      </c>
      <c r="P21" s="20">
        <v>1</v>
      </c>
      <c r="Q21" s="20">
        <v>0</v>
      </c>
      <c r="R21" s="20">
        <v>0</v>
      </c>
      <c r="S21" s="21">
        <f>NETWORKDAYS.INTL(DATE(2018,1,1),DATE(2018,12,31),1,{"2018/1/1";"2018/3/30";"2018/4/2";"2018/5/1";"2018/5/8";"2018/7/5";"2018/7/6";"2018/09/28";"2018/11/17";"2018/12/24";"2018/12/25";"2018/12/26"})</f>
        <v>250</v>
      </c>
      <c r="T21" s="21">
        <f t="shared" si="0"/>
        <v>115</v>
      </c>
      <c r="U21" s="21">
        <f t="shared" si="1"/>
        <v>365</v>
      </c>
      <c r="V21" s="311">
        <f t="shared" si="2"/>
        <v>250</v>
      </c>
      <c r="W21" s="140">
        <f t="shared" si="3"/>
        <v>0</v>
      </c>
      <c r="X21" s="141">
        <f t="shared" si="4"/>
        <v>0</v>
      </c>
      <c r="Y21" s="141">
        <v>0</v>
      </c>
    </row>
    <row r="22" spans="1:25" ht="15" x14ac:dyDescent="0.2">
      <c r="A22" s="276" t="s">
        <v>675</v>
      </c>
      <c r="B22" s="23" t="s">
        <v>334</v>
      </c>
      <c r="C22" s="23" t="s">
        <v>179</v>
      </c>
      <c r="D22" s="139" t="str">
        <f>VLOOKUP(C22,'Seznam HS - nemaš'!$A$1:$B$96,2,FALSE)</f>
        <v>417200</v>
      </c>
      <c r="E22" s="22" t="s">
        <v>677</v>
      </c>
      <c r="F22" s="30" t="s">
        <v>494</v>
      </c>
      <c r="G22" s="30" t="s">
        <v>678</v>
      </c>
      <c r="H22" s="28">
        <f>+IF(ISBLANK(I22),0,VLOOKUP(I22,'8Příloha_2_ceník_pravid_úklid'!$B$9:$C$30,2,0))</f>
        <v>10</v>
      </c>
      <c r="I22" s="143" t="s">
        <v>0</v>
      </c>
      <c r="J22" s="145">
        <v>13.78</v>
      </c>
      <c r="K22" s="275" t="s">
        <v>50</v>
      </c>
      <c r="L22" s="156" t="s">
        <v>21</v>
      </c>
      <c r="M22" s="22" t="s">
        <v>49</v>
      </c>
      <c r="N22" s="24">
        <f>IF((VLOOKUP(I22,'8Příloha_2_ceník_pravid_úklid'!$B$9:$I$30,8,0))=0,VLOOKUP(I22,'8Příloha_2_ceník_pravid_úklid'!$B$9:$K$30,10,0),VLOOKUP(I22,'8Příloha_2_ceník_pravid_úklid'!$B$9:$I$30,8,0))</f>
        <v>0</v>
      </c>
      <c r="O22" s="20">
        <v>1</v>
      </c>
      <c r="P22" s="20">
        <v>1</v>
      </c>
      <c r="Q22" s="20">
        <v>0</v>
      </c>
      <c r="R22" s="20">
        <v>0</v>
      </c>
      <c r="S22" s="21">
        <f>NETWORKDAYS.INTL(DATE(2018,1,1),DATE(2018,12,31),1,{"2018/1/1";"2018/3/30";"2018/4/2";"2018/5/1";"2018/5/8";"2018/7/5";"2018/7/6";"2018/09/28";"2018/11/17";"2018/12/24";"2018/12/25";"2018/12/26"})</f>
        <v>250</v>
      </c>
      <c r="T22" s="21">
        <f t="shared" si="0"/>
        <v>115</v>
      </c>
      <c r="U22" s="21">
        <f t="shared" si="1"/>
        <v>365</v>
      </c>
      <c r="V22" s="311">
        <f t="shared" si="2"/>
        <v>250</v>
      </c>
      <c r="W22" s="140">
        <f t="shared" si="3"/>
        <v>0</v>
      </c>
      <c r="X22" s="141">
        <f t="shared" si="4"/>
        <v>0</v>
      </c>
      <c r="Y22" s="141">
        <v>0</v>
      </c>
    </row>
    <row r="23" spans="1:25" ht="15" x14ac:dyDescent="0.2">
      <c r="A23" s="276" t="s">
        <v>675</v>
      </c>
      <c r="B23" s="23" t="s">
        <v>334</v>
      </c>
      <c r="C23" s="23" t="s">
        <v>179</v>
      </c>
      <c r="D23" s="139" t="str">
        <f>VLOOKUP(C23,'Seznam HS - nemaš'!$A$1:$B$96,2,FALSE)</f>
        <v>417200</v>
      </c>
      <c r="E23" s="22" t="s">
        <v>679</v>
      </c>
      <c r="F23" s="30" t="s">
        <v>477</v>
      </c>
      <c r="G23" s="30"/>
      <c r="H23" s="28">
        <f>+IF(ISBLANK(I23),0,VLOOKUP(I23,'8Příloha_2_ceník_pravid_úklid'!$B$9:$C$30,2,0))</f>
        <v>7</v>
      </c>
      <c r="I23" s="143" t="s">
        <v>14</v>
      </c>
      <c r="J23" s="145">
        <v>12.84</v>
      </c>
      <c r="K23" s="275" t="s">
        <v>50</v>
      </c>
      <c r="L23" s="156" t="s">
        <v>21</v>
      </c>
      <c r="M23" s="22" t="s">
        <v>49</v>
      </c>
      <c r="N23" s="24">
        <f>IF((VLOOKUP(I23,'8Příloha_2_ceník_pravid_úklid'!$B$9:$I$30,8,0))=0,VLOOKUP(I23,'8Příloha_2_ceník_pravid_úklid'!$B$9:$K$30,10,0),VLOOKUP(I23,'8Příloha_2_ceník_pravid_úklid'!$B$9:$I$30,8,0))</f>
        <v>0</v>
      </c>
      <c r="O23" s="20">
        <v>1</v>
      </c>
      <c r="P23" s="20">
        <v>1</v>
      </c>
      <c r="Q23" s="20">
        <v>0</v>
      </c>
      <c r="R23" s="20">
        <v>0</v>
      </c>
      <c r="S23" s="21">
        <f>NETWORKDAYS.INTL(DATE(2018,1,1),DATE(2018,12,31),1,{"2018/1/1";"2018/3/30";"2018/4/2";"2018/5/1";"2018/5/8";"2018/7/5";"2018/7/6";"2018/09/28";"2018/11/17";"2018/12/24";"2018/12/25";"2018/12/26"})</f>
        <v>250</v>
      </c>
      <c r="T23" s="21">
        <f t="shared" si="0"/>
        <v>115</v>
      </c>
      <c r="U23" s="21">
        <f t="shared" si="1"/>
        <v>365</v>
      </c>
      <c r="V23" s="311">
        <f t="shared" si="2"/>
        <v>250</v>
      </c>
      <c r="W23" s="140">
        <f t="shared" si="3"/>
        <v>0</v>
      </c>
      <c r="X23" s="141">
        <f t="shared" si="4"/>
        <v>0</v>
      </c>
      <c r="Y23" s="141">
        <v>0</v>
      </c>
    </row>
    <row r="24" spans="1:25" ht="15" x14ac:dyDescent="0.2">
      <c r="A24" s="276" t="s">
        <v>675</v>
      </c>
      <c r="B24" s="23" t="s">
        <v>334</v>
      </c>
      <c r="C24" s="23" t="s">
        <v>179</v>
      </c>
      <c r="D24" s="139" t="str">
        <f>VLOOKUP(C24,'Seznam HS - nemaš'!$A$1:$B$96,2,FALSE)</f>
        <v>417200</v>
      </c>
      <c r="E24" s="22" t="s">
        <v>680</v>
      </c>
      <c r="F24" s="30" t="s">
        <v>494</v>
      </c>
      <c r="G24" s="30" t="s">
        <v>678</v>
      </c>
      <c r="H24" s="28">
        <f>+IF(ISBLANK(I24),0,VLOOKUP(I24,'8Příloha_2_ceník_pravid_úklid'!$B$9:$C$30,2,0))</f>
        <v>10</v>
      </c>
      <c r="I24" s="143" t="s">
        <v>0</v>
      </c>
      <c r="J24" s="145">
        <v>15.15</v>
      </c>
      <c r="K24" s="275" t="s">
        <v>50</v>
      </c>
      <c r="L24" s="156" t="s">
        <v>21</v>
      </c>
      <c r="M24" s="22" t="s">
        <v>49</v>
      </c>
      <c r="N24" s="24">
        <f>IF((VLOOKUP(I24,'8Příloha_2_ceník_pravid_úklid'!$B$9:$I$30,8,0))=0,VLOOKUP(I24,'8Příloha_2_ceník_pravid_úklid'!$B$9:$K$30,10,0),VLOOKUP(I24,'8Příloha_2_ceník_pravid_úklid'!$B$9:$I$30,8,0))</f>
        <v>0</v>
      </c>
      <c r="O24" s="20">
        <v>1</v>
      </c>
      <c r="P24" s="20">
        <v>1</v>
      </c>
      <c r="Q24" s="20">
        <v>0</v>
      </c>
      <c r="R24" s="20">
        <v>0</v>
      </c>
      <c r="S24" s="21">
        <f>NETWORKDAYS.INTL(DATE(2018,1,1),DATE(2018,12,31),1,{"2018/1/1";"2018/3/30";"2018/4/2";"2018/5/1";"2018/5/8";"2018/7/5";"2018/7/6";"2018/09/28";"2018/11/17";"2018/12/24";"2018/12/25";"2018/12/26"})</f>
        <v>250</v>
      </c>
      <c r="T24" s="21">
        <f t="shared" si="0"/>
        <v>115</v>
      </c>
      <c r="U24" s="21">
        <f t="shared" si="1"/>
        <v>365</v>
      </c>
      <c r="V24" s="311">
        <f t="shared" si="2"/>
        <v>250</v>
      </c>
      <c r="W24" s="140">
        <f t="shared" si="3"/>
        <v>0</v>
      </c>
      <c r="X24" s="141">
        <f t="shared" si="4"/>
        <v>0</v>
      </c>
      <c r="Y24" s="141">
        <v>0</v>
      </c>
    </row>
    <row r="25" spans="1:25" ht="15" x14ac:dyDescent="0.2">
      <c r="A25" s="276" t="s">
        <v>675</v>
      </c>
      <c r="B25" s="23" t="s">
        <v>334</v>
      </c>
      <c r="C25" s="23"/>
      <c r="D25" s="139">
        <f>VLOOKUP(C25,'Seznam HS - nemaš'!$A$1:$B$96,2,FALSE)</f>
        <v>0</v>
      </c>
      <c r="E25" s="22" t="s">
        <v>681</v>
      </c>
      <c r="F25" s="30" t="s">
        <v>53</v>
      </c>
      <c r="G25" s="30"/>
      <c r="H25" s="28">
        <f>+IF(ISBLANK(I25),0,VLOOKUP(I25,'8Příloha_2_ceník_pravid_úklid'!$B$9:$C$30,2,0))</f>
        <v>6</v>
      </c>
      <c r="I25" s="143" t="s">
        <v>1</v>
      </c>
      <c r="J25" s="145">
        <v>30.9</v>
      </c>
      <c r="K25" s="275" t="s">
        <v>50</v>
      </c>
      <c r="L25" s="156" t="s">
        <v>637</v>
      </c>
      <c r="M25" s="22" t="s">
        <v>49</v>
      </c>
      <c r="N25" s="24">
        <f>IF((VLOOKUP(I25,'8Příloha_2_ceník_pravid_úklid'!$B$9:$I$30,8,0))=0,VLOOKUP(I25,'8Příloha_2_ceník_pravid_úklid'!$B$9:$K$30,10,0),VLOOKUP(I25,'8Příloha_2_ceník_pravid_úklid'!$B$9:$I$30,8,0))</f>
        <v>0</v>
      </c>
      <c r="O25" s="20">
        <v>1</v>
      </c>
      <c r="P25" s="20">
        <f>2/5</f>
        <v>0.4</v>
      </c>
      <c r="Q25" s="20">
        <v>0</v>
      </c>
      <c r="R25" s="20">
        <v>0</v>
      </c>
      <c r="S25" s="21">
        <f>NETWORKDAYS.INTL(DATE(2018,1,1),DATE(2018,12,31),1,{"2018/1/1";"2018/3/30";"2018/4/2";"2018/5/1";"2018/5/8";"2018/7/5";"2018/7/6";"2018/09/28";"2018/11/17";"2018/12/24";"2018/12/25";"2018/12/26"})</f>
        <v>250</v>
      </c>
      <c r="T25" s="21">
        <f t="shared" si="0"/>
        <v>115</v>
      </c>
      <c r="U25" s="21">
        <f t="shared" si="1"/>
        <v>365</v>
      </c>
      <c r="V25" s="311">
        <f t="shared" si="2"/>
        <v>100</v>
      </c>
      <c r="W25" s="140">
        <f t="shared" si="3"/>
        <v>0</v>
      </c>
      <c r="X25" s="141">
        <f t="shared" si="4"/>
        <v>0</v>
      </c>
      <c r="Y25" s="141">
        <v>0</v>
      </c>
    </row>
    <row r="26" spans="1:25" ht="15" x14ac:dyDescent="0.2">
      <c r="A26" s="235" t="s">
        <v>670</v>
      </c>
      <c r="B26" s="236" t="s">
        <v>334</v>
      </c>
      <c r="C26" s="236"/>
      <c r="D26" s="535">
        <f>VLOOKUP(C26,'Seznam HS - nemaš'!$A$1:$B$96,2,FALSE)</f>
        <v>0</v>
      </c>
      <c r="E26" s="237" t="s">
        <v>682</v>
      </c>
      <c r="F26" s="303" t="s">
        <v>683</v>
      </c>
      <c r="G26" s="303"/>
      <c r="H26" s="224">
        <f>+IF(ISBLANK(I26),0,VLOOKUP(I26,'8Příloha_2_ceník_pravid_úklid'!$B$9:$C$30,2,0))</f>
        <v>0</v>
      </c>
      <c r="I26" s="273"/>
      <c r="J26" s="241">
        <v>14.35</v>
      </c>
      <c r="K26" s="240"/>
      <c r="L26" s="242" t="s">
        <v>387</v>
      </c>
      <c r="M26" s="237"/>
      <c r="N26" s="229" t="s">
        <v>501</v>
      </c>
      <c r="O26" s="230">
        <v>0</v>
      </c>
      <c r="P26" s="230">
        <v>0</v>
      </c>
      <c r="Q26" s="230">
        <v>0</v>
      </c>
      <c r="R26" s="230">
        <v>0</v>
      </c>
      <c r="S26" s="231">
        <f>NETWORKDAYS.INTL(DATE(2018,1,1),DATE(2018,12,31),1,{"2018/1/1";"2018/3/30";"2018/4/2";"2018/5/1";"2018/5/8";"2018/7/5";"2018/7/6";"2018/09/28";"2018/11/17";"2018/12/24";"2018/12/25";"2018/12/26"})</f>
        <v>250</v>
      </c>
      <c r="T26" s="231">
        <f t="shared" si="0"/>
        <v>115</v>
      </c>
      <c r="U26" s="231">
        <f t="shared" si="1"/>
        <v>365</v>
      </c>
      <c r="V26" s="312">
        <f t="shared" si="2"/>
        <v>0</v>
      </c>
      <c r="W26" s="233">
        <f t="shared" si="3"/>
        <v>0</v>
      </c>
      <c r="X26" s="234">
        <f t="shared" si="4"/>
        <v>0</v>
      </c>
      <c r="Y26" s="234">
        <f t="shared" si="4"/>
        <v>0</v>
      </c>
    </row>
    <row r="27" spans="1:25" ht="15" x14ac:dyDescent="0.2">
      <c r="A27" s="235" t="s">
        <v>670</v>
      </c>
      <c r="B27" s="236" t="s">
        <v>334</v>
      </c>
      <c r="C27" s="236"/>
      <c r="D27" s="535">
        <f>VLOOKUP(C27,'Seznam HS - nemaš'!$A$1:$B$96,2,FALSE)</f>
        <v>0</v>
      </c>
      <c r="E27" s="237" t="s">
        <v>684</v>
      </c>
      <c r="F27" s="303" t="s">
        <v>398</v>
      </c>
      <c r="G27" s="303"/>
      <c r="H27" s="224">
        <f>+IF(ISBLANK(I27),0,VLOOKUP(I27,'8Příloha_2_ceník_pravid_úklid'!$B$9:$C$30,2,0))</f>
        <v>0</v>
      </c>
      <c r="I27" s="273"/>
      <c r="J27" s="241"/>
      <c r="K27" s="240"/>
      <c r="L27" s="242" t="s">
        <v>387</v>
      </c>
      <c r="M27" s="237"/>
      <c r="N27" s="229" t="s">
        <v>501</v>
      </c>
      <c r="O27" s="230">
        <v>0</v>
      </c>
      <c r="P27" s="230">
        <v>0</v>
      </c>
      <c r="Q27" s="230">
        <v>0</v>
      </c>
      <c r="R27" s="230">
        <v>0</v>
      </c>
      <c r="S27" s="231">
        <f>NETWORKDAYS.INTL(DATE(2018,1,1),DATE(2018,12,31),1,{"2018/1/1";"2018/3/30";"2018/4/2";"2018/5/1";"2018/5/8";"2018/7/5";"2018/7/6";"2018/09/28";"2018/11/17";"2018/12/24";"2018/12/25";"2018/12/26"})</f>
        <v>250</v>
      </c>
      <c r="T27" s="231">
        <f t="shared" si="0"/>
        <v>115</v>
      </c>
      <c r="U27" s="231">
        <f t="shared" si="1"/>
        <v>365</v>
      </c>
      <c r="V27" s="312">
        <f t="shared" si="2"/>
        <v>0</v>
      </c>
      <c r="W27" s="233">
        <f t="shared" si="3"/>
        <v>0</v>
      </c>
      <c r="X27" s="234">
        <f t="shared" si="4"/>
        <v>0</v>
      </c>
      <c r="Y27" s="234">
        <f t="shared" si="4"/>
        <v>0</v>
      </c>
    </row>
    <row r="28" spans="1:25" ht="15" x14ac:dyDescent="0.2">
      <c r="A28" s="235" t="s">
        <v>670</v>
      </c>
      <c r="B28" s="236" t="s">
        <v>334</v>
      </c>
      <c r="C28" s="236"/>
      <c r="D28" s="535">
        <f>VLOOKUP(C28,'Seznam HS - nemaš'!$A$1:$B$96,2,FALSE)</f>
        <v>0</v>
      </c>
      <c r="E28" s="237" t="s">
        <v>685</v>
      </c>
      <c r="F28" s="303" t="s">
        <v>398</v>
      </c>
      <c r="G28" s="303"/>
      <c r="H28" s="224">
        <f>+IF(ISBLANK(I28),0,VLOOKUP(I28,'8Příloha_2_ceník_pravid_úklid'!$B$9:$C$30,2,0))</f>
        <v>0</v>
      </c>
      <c r="I28" s="273"/>
      <c r="J28" s="241"/>
      <c r="K28" s="240"/>
      <c r="L28" s="242" t="s">
        <v>387</v>
      </c>
      <c r="M28" s="237"/>
      <c r="N28" s="229" t="s">
        <v>501</v>
      </c>
      <c r="O28" s="230">
        <v>0</v>
      </c>
      <c r="P28" s="230">
        <v>0</v>
      </c>
      <c r="Q28" s="230">
        <v>0</v>
      </c>
      <c r="R28" s="230">
        <v>0</v>
      </c>
      <c r="S28" s="231">
        <f>NETWORKDAYS.INTL(DATE(2018,1,1),DATE(2018,12,31),1,{"2018/1/1";"2018/3/30";"2018/4/2";"2018/5/1";"2018/5/8";"2018/7/5";"2018/7/6";"2018/09/28";"2018/11/17";"2018/12/24";"2018/12/25";"2018/12/26"})</f>
        <v>250</v>
      </c>
      <c r="T28" s="231">
        <f t="shared" si="0"/>
        <v>115</v>
      </c>
      <c r="U28" s="231">
        <f t="shared" si="1"/>
        <v>365</v>
      </c>
      <c r="V28" s="312">
        <f t="shared" si="2"/>
        <v>0</v>
      </c>
      <c r="W28" s="233">
        <f t="shared" si="3"/>
        <v>0</v>
      </c>
      <c r="X28" s="234">
        <f t="shared" si="4"/>
        <v>0</v>
      </c>
      <c r="Y28" s="234">
        <f t="shared" si="4"/>
        <v>0</v>
      </c>
    </row>
    <row r="29" spans="1:25" ht="15" x14ac:dyDescent="0.2">
      <c r="A29" s="235" t="s">
        <v>670</v>
      </c>
      <c r="B29" s="236" t="s">
        <v>334</v>
      </c>
      <c r="C29" s="236"/>
      <c r="D29" s="535">
        <f>VLOOKUP(C29,'Seznam HS - nemaš'!$A$1:$B$96,2,FALSE)</f>
        <v>0</v>
      </c>
      <c r="E29" s="237" t="s">
        <v>686</v>
      </c>
      <c r="F29" s="303" t="s">
        <v>398</v>
      </c>
      <c r="G29" s="303"/>
      <c r="H29" s="224">
        <f>+IF(ISBLANK(I29),0,VLOOKUP(I29,'8Příloha_2_ceník_pravid_úklid'!$B$9:$C$30,2,0))</f>
        <v>0</v>
      </c>
      <c r="I29" s="273"/>
      <c r="J29" s="241"/>
      <c r="K29" s="240"/>
      <c r="L29" s="242" t="s">
        <v>387</v>
      </c>
      <c r="M29" s="237"/>
      <c r="N29" s="229" t="s">
        <v>501</v>
      </c>
      <c r="O29" s="230">
        <v>0</v>
      </c>
      <c r="P29" s="230">
        <v>0</v>
      </c>
      <c r="Q29" s="230">
        <v>0</v>
      </c>
      <c r="R29" s="230">
        <v>0</v>
      </c>
      <c r="S29" s="231">
        <f>NETWORKDAYS.INTL(DATE(2018,1,1),DATE(2018,12,31),1,{"2018/1/1";"2018/3/30";"2018/4/2";"2018/5/1";"2018/5/8";"2018/7/5";"2018/7/6";"2018/09/28";"2018/11/17";"2018/12/24";"2018/12/25";"2018/12/26"})</f>
        <v>250</v>
      </c>
      <c r="T29" s="231">
        <f t="shared" si="0"/>
        <v>115</v>
      </c>
      <c r="U29" s="231">
        <f t="shared" si="1"/>
        <v>365</v>
      </c>
      <c r="V29" s="312">
        <f t="shared" si="2"/>
        <v>0</v>
      </c>
      <c r="W29" s="233">
        <f t="shared" si="3"/>
        <v>0</v>
      </c>
      <c r="X29" s="234">
        <f t="shared" si="4"/>
        <v>0</v>
      </c>
      <c r="Y29" s="234">
        <f t="shared" si="4"/>
        <v>0</v>
      </c>
    </row>
    <row r="30" spans="1:25" ht="15" x14ac:dyDescent="0.2">
      <c r="A30" s="235" t="s">
        <v>670</v>
      </c>
      <c r="B30" s="236" t="s">
        <v>334</v>
      </c>
      <c r="C30" s="236"/>
      <c r="D30" s="535">
        <f>VLOOKUP(C30,'Seznam HS - nemaš'!$A$1:$B$96,2,FALSE)</f>
        <v>0</v>
      </c>
      <c r="E30" s="237" t="s">
        <v>687</v>
      </c>
      <c r="F30" s="303" t="s">
        <v>398</v>
      </c>
      <c r="G30" s="303"/>
      <c r="H30" s="224">
        <f>+IF(ISBLANK(I30),0,VLOOKUP(I30,'8Příloha_2_ceník_pravid_úklid'!$B$9:$C$30,2,0))</f>
        <v>0</v>
      </c>
      <c r="I30" s="273"/>
      <c r="J30" s="241"/>
      <c r="K30" s="240"/>
      <c r="L30" s="242" t="s">
        <v>387</v>
      </c>
      <c r="M30" s="237"/>
      <c r="N30" s="229" t="s">
        <v>501</v>
      </c>
      <c r="O30" s="230">
        <v>0</v>
      </c>
      <c r="P30" s="230">
        <v>0</v>
      </c>
      <c r="Q30" s="230">
        <v>0</v>
      </c>
      <c r="R30" s="230">
        <v>0</v>
      </c>
      <c r="S30" s="231">
        <f>NETWORKDAYS.INTL(DATE(2018,1,1),DATE(2018,12,31),1,{"2018/1/1";"2018/3/30";"2018/4/2";"2018/5/1";"2018/5/8";"2018/7/5";"2018/7/6";"2018/09/28";"2018/11/17";"2018/12/24";"2018/12/25";"2018/12/26"})</f>
        <v>250</v>
      </c>
      <c r="T30" s="231">
        <f t="shared" si="0"/>
        <v>115</v>
      </c>
      <c r="U30" s="231">
        <f t="shared" si="1"/>
        <v>365</v>
      </c>
      <c r="V30" s="312">
        <f t="shared" si="2"/>
        <v>0</v>
      </c>
      <c r="W30" s="233">
        <f t="shared" si="3"/>
        <v>0</v>
      </c>
      <c r="X30" s="234">
        <f t="shared" si="4"/>
        <v>0</v>
      </c>
      <c r="Y30" s="234">
        <f t="shared" si="4"/>
        <v>0</v>
      </c>
    </row>
    <row r="31" spans="1:25" ht="15" x14ac:dyDescent="0.2">
      <c r="A31" s="235" t="s">
        <v>670</v>
      </c>
      <c r="B31" s="236" t="s">
        <v>334</v>
      </c>
      <c r="C31" s="236"/>
      <c r="D31" s="535">
        <f>VLOOKUP(C31,'Seznam HS - nemaš'!$A$1:$B$96,2,FALSE)</f>
        <v>0</v>
      </c>
      <c r="E31" s="237" t="s">
        <v>688</v>
      </c>
      <c r="F31" s="303" t="s">
        <v>398</v>
      </c>
      <c r="G31" s="303"/>
      <c r="H31" s="224">
        <f>+IF(ISBLANK(I31),0,VLOOKUP(I31,'8Příloha_2_ceník_pravid_úklid'!$B$9:$C$30,2,0))</f>
        <v>0</v>
      </c>
      <c r="I31" s="273"/>
      <c r="J31" s="241"/>
      <c r="K31" s="240"/>
      <c r="L31" s="242" t="s">
        <v>387</v>
      </c>
      <c r="M31" s="237"/>
      <c r="N31" s="229" t="s">
        <v>501</v>
      </c>
      <c r="O31" s="230">
        <v>0</v>
      </c>
      <c r="P31" s="230">
        <v>0</v>
      </c>
      <c r="Q31" s="230">
        <v>0</v>
      </c>
      <c r="R31" s="230">
        <v>0</v>
      </c>
      <c r="S31" s="231">
        <f>NETWORKDAYS.INTL(DATE(2018,1,1),DATE(2018,12,31),1,{"2018/1/1";"2018/3/30";"2018/4/2";"2018/5/1";"2018/5/8";"2018/7/5";"2018/7/6";"2018/09/28";"2018/11/17";"2018/12/24";"2018/12/25";"2018/12/26"})</f>
        <v>250</v>
      </c>
      <c r="T31" s="231">
        <f t="shared" si="0"/>
        <v>115</v>
      </c>
      <c r="U31" s="231">
        <f t="shared" si="1"/>
        <v>365</v>
      </c>
      <c r="V31" s="312">
        <f t="shared" si="2"/>
        <v>0</v>
      </c>
      <c r="W31" s="233">
        <f t="shared" si="3"/>
        <v>0</v>
      </c>
      <c r="X31" s="234">
        <f t="shared" si="4"/>
        <v>0</v>
      </c>
      <c r="Y31" s="234">
        <f t="shared" si="4"/>
        <v>0</v>
      </c>
    </row>
    <row r="32" spans="1:25" ht="15" x14ac:dyDescent="0.2">
      <c r="A32" s="235" t="s">
        <v>670</v>
      </c>
      <c r="B32" s="236" t="s">
        <v>334</v>
      </c>
      <c r="C32" s="236"/>
      <c r="D32" s="535">
        <f>VLOOKUP(C32,'Seznam HS - nemaš'!$A$1:$B$96,2,FALSE)</f>
        <v>0</v>
      </c>
      <c r="E32" s="237" t="s">
        <v>689</v>
      </c>
      <c r="F32" s="303" t="s">
        <v>505</v>
      </c>
      <c r="G32" s="303" t="s">
        <v>663</v>
      </c>
      <c r="H32" s="224">
        <f>+IF(ISBLANK(I32),0,VLOOKUP(I32,'8Příloha_2_ceník_pravid_úklid'!$B$9:$C$30,2,0))</f>
        <v>0</v>
      </c>
      <c r="I32" s="273"/>
      <c r="J32" s="241">
        <v>106.54</v>
      </c>
      <c r="K32" s="240"/>
      <c r="L32" s="242" t="s">
        <v>387</v>
      </c>
      <c r="M32" s="237"/>
      <c r="N32" s="229" t="s">
        <v>501</v>
      </c>
      <c r="O32" s="230">
        <v>0</v>
      </c>
      <c r="P32" s="230">
        <v>0</v>
      </c>
      <c r="Q32" s="230">
        <v>0</v>
      </c>
      <c r="R32" s="230">
        <v>0</v>
      </c>
      <c r="S32" s="231">
        <f>NETWORKDAYS.INTL(DATE(2018,1,1),DATE(2018,12,31),1,{"2018/1/1";"2018/3/30";"2018/4/2";"2018/5/1";"2018/5/8";"2018/7/5";"2018/7/6";"2018/09/28";"2018/11/17";"2018/12/24";"2018/12/25";"2018/12/26"})</f>
        <v>250</v>
      </c>
      <c r="T32" s="231">
        <f t="shared" si="0"/>
        <v>115</v>
      </c>
      <c r="U32" s="231">
        <f t="shared" si="1"/>
        <v>365</v>
      </c>
      <c r="V32" s="312">
        <f t="shared" si="2"/>
        <v>0</v>
      </c>
      <c r="W32" s="233">
        <f t="shared" si="3"/>
        <v>0</v>
      </c>
      <c r="X32" s="234">
        <f t="shared" si="4"/>
        <v>0</v>
      </c>
      <c r="Y32" s="234">
        <f t="shared" si="4"/>
        <v>0</v>
      </c>
    </row>
    <row r="33" spans="1:25" ht="15" x14ac:dyDescent="0.2">
      <c r="A33" s="235" t="s">
        <v>670</v>
      </c>
      <c r="B33" s="236" t="s">
        <v>334</v>
      </c>
      <c r="C33" s="236"/>
      <c r="D33" s="535">
        <f>VLOOKUP(C33,'Seznam HS - nemaš'!$A$1:$B$96,2,FALSE)</f>
        <v>0</v>
      </c>
      <c r="E33" s="237" t="s">
        <v>690</v>
      </c>
      <c r="F33" s="303" t="s">
        <v>397</v>
      </c>
      <c r="G33" s="303"/>
      <c r="H33" s="224">
        <f>+IF(ISBLANK(I33),0,VLOOKUP(I33,'8Příloha_2_ceník_pravid_úklid'!$B$9:$C$30,2,0))</f>
        <v>0</v>
      </c>
      <c r="I33" s="273"/>
      <c r="J33" s="241">
        <v>11.67</v>
      </c>
      <c r="K33" s="240"/>
      <c r="L33" s="242" t="s">
        <v>387</v>
      </c>
      <c r="M33" s="237"/>
      <c r="N33" s="229" t="s">
        <v>501</v>
      </c>
      <c r="O33" s="230">
        <v>0</v>
      </c>
      <c r="P33" s="230">
        <v>0</v>
      </c>
      <c r="Q33" s="230">
        <v>0</v>
      </c>
      <c r="R33" s="230">
        <v>0</v>
      </c>
      <c r="S33" s="231">
        <f>NETWORKDAYS.INTL(DATE(2018,1,1),DATE(2018,12,31),1,{"2018/1/1";"2018/3/30";"2018/4/2";"2018/5/1";"2018/5/8";"2018/7/5";"2018/7/6";"2018/09/28";"2018/11/17";"2018/12/24";"2018/12/25";"2018/12/26"})</f>
        <v>250</v>
      </c>
      <c r="T33" s="231">
        <f t="shared" si="0"/>
        <v>115</v>
      </c>
      <c r="U33" s="231">
        <f t="shared" si="1"/>
        <v>365</v>
      </c>
      <c r="V33" s="312">
        <f t="shared" si="2"/>
        <v>0</v>
      </c>
      <c r="W33" s="233">
        <f t="shared" si="3"/>
        <v>0</v>
      </c>
      <c r="X33" s="234">
        <f t="shared" si="4"/>
        <v>0</v>
      </c>
      <c r="Y33" s="234">
        <f t="shared" si="4"/>
        <v>0</v>
      </c>
    </row>
    <row r="34" spans="1:25" ht="15" x14ac:dyDescent="0.2">
      <c r="A34" s="276" t="s">
        <v>670</v>
      </c>
      <c r="B34" s="23" t="s">
        <v>334</v>
      </c>
      <c r="C34" s="23" t="s">
        <v>273</v>
      </c>
      <c r="D34" s="139" t="e">
        <f>VLOOKUP(C34,'Seznam HS - nemaš'!$A$1:$B$96,2,FALSE)</f>
        <v>#N/A</v>
      </c>
      <c r="E34" s="22" t="s">
        <v>691</v>
      </c>
      <c r="F34" s="30" t="s">
        <v>692</v>
      </c>
      <c r="G34" s="30" t="s">
        <v>693</v>
      </c>
      <c r="H34" s="28">
        <f>+IF(ISBLANK(I34),0,VLOOKUP(I34,'8Příloha_2_ceník_pravid_úklid'!$B$9:$C$30,2,0))</f>
        <v>17</v>
      </c>
      <c r="I34" s="143" t="s">
        <v>13</v>
      </c>
      <c r="J34" s="145">
        <v>30.51</v>
      </c>
      <c r="K34" s="275" t="s">
        <v>50</v>
      </c>
      <c r="L34" s="156" t="s">
        <v>694</v>
      </c>
      <c r="M34" s="22" t="s">
        <v>49</v>
      </c>
      <c r="N34" s="24">
        <f>IF((VLOOKUP(I34,'8Příloha_2_ceník_pravid_úklid'!$B$9:$I$30,8,0))=0,VLOOKUP(I34,'8Příloha_2_ceník_pravid_úklid'!$B$9:$K$30,10,0),VLOOKUP(I34,'8Příloha_2_ceník_pravid_úklid'!$B$9:$I$30,8,0))</f>
        <v>0</v>
      </c>
      <c r="O34" s="20">
        <v>1</v>
      </c>
      <c r="P34" s="318">
        <f>ROUND(1/21,2)</f>
        <v>0.05</v>
      </c>
      <c r="Q34" s="20">
        <v>0</v>
      </c>
      <c r="R34" s="20">
        <v>0</v>
      </c>
      <c r="S34" s="21">
        <f>NETWORKDAYS.INTL(DATE(2018,1,1),DATE(2018,12,31),1,{"2018/1/1";"2018/3/30";"2018/4/2";"2018/5/1";"2018/5/8";"2018/7/5";"2018/7/6";"2018/09/28";"2018/11/17";"2018/12/24";"2018/12/25";"2018/12/26"})</f>
        <v>250</v>
      </c>
      <c r="T34" s="21">
        <f t="shared" si="0"/>
        <v>115</v>
      </c>
      <c r="U34" s="21">
        <f t="shared" si="1"/>
        <v>365</v>
      </c>
      <c r="V34" s="311">
        <f t="shared" si="2"/>
        <v>12.5</v>
      </c>
      <c r="W34" s="140">
        <f t="shared" si="3"/>
        <v>0</v>
      </c>
      <c r="X34" s="141">
        <f t="shared" si="4"/>
        <v>0</v>
      </c>
      <c r="Y34" s="141">
        <v>0</v>
      </c>
    </row>
    <row r="35" spans="1:25" ht="15" x14ac:dyDescent="0.2">
      <c r="A35" s="235" t="s">
        <v>670</v>
      </c>
      <c r="B35" s="236" t="s">
        <v>334</v>
      </c>
      <c r="C35" s="236"/>
      <c r="D35" s="535">
        <f>VLOOKUP(C35,'Seznam HS - nemaš'!$A$1:$B$96,2,FALSE)</f>
        <v>0</v>
      </c>
      <c r="E35" s="237" t="s">
        <v>695</v>
      </c>
      <c r="F35" s="303" t="s">
        <v>696</v>
      </c>
      <c r="G35" s="303"/>
      <c r="H35" s="224">
        <f>+IF(ISBLANK(I35),0,VLOOKUP(I35,'8Příloha_2_ceník_pravid_úklid'!$B$9:$C$30,2,0))</f>
        <v>0</v>
      </c>
      <c r="I35" s="273"/>
      <c r="J35" s="241">
        <v>17.920000000000002</v>
      </c>
      <c r="K35" s="240"/>
      <c r="L35" s="242" t="s">
        <v>387</v>
      </c>
      <c r="M35" s="237"/>
      <c r="N35" s="229" t="s">
        <v>501</v>
      </c>
      <c r="O35" s="230">
        <v>0</v>
      </c>
      <c r="P35" s="230">
        <v>0</v>
      </c>
      <c r="Q35" s="230">
        <v>0</v>
      </c>
      <c r="R35" s="230">
        <v>0</v>
      </c>
      <c r="S35" s="231">
        <f>NETWORKDAYS.INTL(DATE(2018,1,1),DATE(2018,12,31),1,{"2018/1/1";"2018/3/30";"2018/4/2";"2018/5/1";"2018/5/8";"2018/7/5";"2018/7/6";"2018/09/28";"2018/11/17";"2018/12/24";"2018/12/25";"2018/12/26"})</f>
        <v>250</v>
      </c>
      <c r="T35" s="231">
        <f t="shared" si="0"/>
        <v>115</v>
      </c>
      <c r="U35" s="231">
        <f t="shared" si="1"/>
        <v>365</v>
      </c>
      <c r="V35" s="312">
        <f t="shared" si="2"/>
        <v>0</v>
      </c>
      <c r="W35" s="233">
        <f t="shared" si="3"/>
        <v>0</v>
      </c>
      <c r="X35" s="234">
        <f t="shared" si="4"/>
        <v>0</v>
      </c>
      <c r="Y35" s="234">
        <f t="shared" si="4"/>
        <v>0</v>
      </c>
    </row>
    <row r="36" spans="1:25" ht="15" x14ac:dyDescent="0.2">
      <c r="A36" s="276" t="s">
        <v>697</v>
      </c>
      <c r="B36" s="23" t="s">
        <v>334</v>
      </c>
      <c r="C36" s="23" t="s">
        <v>173</v>
      </c>
      <c r="D36" s="139" t="str">
        <f>VLOOKUP(C36,'Seznam HS - nemaš'!$A$1:$B$96,2,FALSE)</f>
        <v>411401</v>
      </c>
      <c r="E36" s="22" t="s">
        <v>698</v>
      </c>
      <c r="F36" s="30" t="s">
        <v>699</v>
      </c>
      <c r="G36" s="30"/>
      <c r="H36" s="28">
        <f>+IF(ISBLANK(I36),0,VLOOKUP(I36,'8Příloha_2_ceník_pravid_úklid'!$B$9:$C$30,2,0))</f>
        <v>7</v>
      </c>
      <c r="I36" s="143" t="s">
        <v>14</v>
      </c>
      <c r="J36" s="145">
        <v>11.91</v>
      </c>
      <c r="K36" s="275" t="s">
        <v>50</v>
      </c>
      <c r="L36" s="156" t="s">
        <v>637</v>
      </c>
      <c r="M36" s="22" t="s">
        <v>49</v>
      </c>
      <c r="N36" s="24">
        <f>IF((VLOOKUP(I36,'8Příloha_2_ceník_pravid_úklid'!$B$9:$I$30,8,0))=0,VLOOKUP(I36,'8Příloha_2_ceník_pravid_úklid'!$B$9:$K$30,10,0),VLOOKUP(I36,'8Příloha_2_ceník_pravid_úklid'!$B$9:$I$30,8,0))</f>
        <v>0</v>
      </c>
      <c r="O36" s="20">
        <v>1</v>
      </c>
      <c r="P36" s="20">
        <f>2/5</f>
        <v>0.4</v>
      </c>
      <c r="Q36" s="20">
        <v>0</v>
      </c>
      <c r="R36" s="20">
        <v>0</v>
      </c>
      <c r="S36" s="21">
        <f>NETWORKDAYS.INTL(DATE(2018,1,1),DATE(2018,12,31),1,{"2018/1/1";"2018/3/30";"2018/4/2";"2018/5/1";"2018/5/8";"2018/7/5";"2018/7/6";"2018/09/28";"2018/11/17";"2018/12/24";"2018/12/25";"2018/12/26"})</f>
        <v>250</v>
      </c>
      <c r="T36" s="21">
        <f t="shared" si="0"/>
        <v>115</v>
      </c>
      <c r="U36" s="21">
        <f t="shared" si="1"/>
        <v>365</v>
      </c>
      <c r="V36" s="311">
        <f t="shared" si="2"/>
        <v>100</v>
      </c>
      <c r="W36" s="140">
        <f t="shared" si="3"/>
        <v>0</v>
      </c>
      <c r="X36" s="141">
        <f t="shared" si="4"/>
        <v>0</v>
      </c>
      <c r="Y36" s="141">
        <v>0</v>
      </c>
    </row>
    <row r="37" spans="1:25" ht="15" x14ac:dyDescent="0.2">
      <c r="A37" s="276" t="s">
        <v>697</v>
      </c>
      <c r="B37" s="23" t="s">
        <v>334</v>
      </c>
      <c r="C37" s="23" t="s">
        <v>173</v>
      </c>
      <c r="D37" s="139" t="str">
        <f>VLOOKUP(C37,'Seznam HS - nemaš'!$A$1:$B$96,2,FALSE)</f>
        <v>411401</v>
      </c>
      <c r="E37" s="22" t="s">
        <v>700</v>
      </c>
      <c r="F37" s="30" t="s">
        <v>701</v>
      </c>
      <c r="G37" s="30" t="s">
        <v>702</v>
      </c>
      <c r="H37" s="28">
        <f>+IF(ISBLANK(I37),0,VLOOKUP(I37,'8Příloha_2_ceník_pravid_úklid'!$B$9:$C$30,2,0))</f>
        <v>7</v>
      </c>
      <c r="I37" s="143" t="s">
        <v>14</v>
      </c>
      <c r="J37" s="145">
        <v>32.08</v>
      </c>
      <c r="K37" s="275" t="s">
        <v>50</v>
      </c>
      <c r="L37" s="156" t="s">
        <v>21</v>
      </c>
      <c r="M37" s="22" t="s">
        <v>49</v>
      </c>
      <c r="N37" s="24">
        <f>IF((VLOOKUP(I37,'8Příloha_2_ceník_pravid_úklid'!$B$9:$I$30,8,0))=0,VLOOKUP(I37,'8Příloha_2_ceník_pravid_úklid'!$B$9:$K$30,10,0),VLOOKUP(I37,'8Příloha_2_ceník_pravid_úklid'!$B$9:$I$30,8,0))</f>
        <v>0</v>
      </c>
      <c r="O37" s="20">
        <v>1</v>
      </c>
      <c r="P37" s="20">
        <v>1</v>
      </c>
      <c r="Q37" s="20">
        <v>0</v>
      </c>
      <c r="R37" s="20">
        <v>0</v>
      </c>
      <c r="S37" s="21">
        <f>NETWORKDAYS.INTL(DATE(2018,1,1),DATE(2018,12,31),1,{"2018/1/1";"2018/3/30";"2018/4/2";"2018/5/1";"2018/5/8";"2018/7/5";"2018/7/6";"2018/09/28";"2018/11/17";"2018/12/24";"2018/12/25";"2018/12/26"})</f>
        <v>250</v>
      </c>
      <c r="T37" s="21">
        <f t="shared" si="0"/>
        <v>115</v>
      </c>
      <c r="U37" s="21">
        <f t="shared" si="1"/>
        <v>365</v>
      </c>
      <c r="V37" s="311">
        <f t="shared" si="2"/>
        <v>250</v>
      </c>
      <c r="W37" s="140">
        <f t="shared" si="3"/>
        <v>0</v>
      </c>
      <c r="X37" s="141">
        <f t="shared" si="4"/>
        <v>0</v>
      </c>
      <c r="Y37" s="141">
        <v>0</v>
      </c>
    </row>
    <row r="38" spans="1:25" ht="15" x14ac:dyDescent="0.2">
      <c r="A38" s="276" t="s">
        <v>697</v>
      </c>
      <c r="B38" s="23" t="s">
        <v>334</v>
      </c>
      <c r="C38" s="23" t="s">
        <v>173</v>
      </c>
      <c r="D38" s="139" t="str">
        <f>VLOOKUP(C38,'Seznam HS - nemaš'!$A$1:$B$96,2,FALSE)</f>
        <v>411401</v>
      </c>
      <c r="E38" s="22" t="s">
        <v>703</v>
      </c>
      <c r="F38" s="30" t="s">
        <v>477</v>
      </c>
      <c r="G38" s="30"/>
      <c r="H38" s="28">
        <f>+IF(ISBLANK(I38),0,VLOOKUP(I38,'8Příloha_2_ceník_pravid_úklid'!$B$9:$C$30,2,0))</f>
        <v>7</v>
      </c>
      <c r="I38" s="143" t="s">
        <v>14</v>
      </c>
      <c r="J38" s="145">
        <v>4.75</v>
      </c>
      <c r="K38" s="275" t="s">
        <v>50</v>
      </c>
      <c r="L38" s="156" t="s">
        <v>21</v>
      </c>
      <c r="M38" s="22" t="s">
        <v>49</v>
      </c>
      <c r="N38" s="24">
        <f>IF((VLOOKUP(I38,'8Příloha_2_ceník_pravid_úklid'!$B$9:$I$30,8,0))=0,VLOOKUP(I38,'8Příloha_2_ceník_pravid_úklid'!$B$9:$K$30,10,0),VLOOKUP(I38,'8Příloha_2_ceník_pravid_úklid'!$B$9:$I$30,8,0))</f>
        <v>0</v>
      </c>
      <c r="O38" s="20">
        <v>1</v>
      </c>
      <c r="P38" s="20">
        <v>1</v>
      </c>
      <c r="Q38" s="20">
        <v>0</v>
      </c>
      <c r="R38" s="20">
        <v>0</v>
      </c>
      <c r="S38" s="21">
        <f>NETWORKDAYS.INTL(DATE(2018,1,1),DATE(2018,12,31),1,{"2018/1/1";"2018/3/30";"2018/4/2";"2018/5/1";"2018/5/8";"2018/7/5";"2018/7/6";"2018/09/28";"2018/11/17";"2018/12/24";"2018/12/25";"2018/12/26"})</f>
        <v>250</v>
      </c>
      <c r="T38" s="21">
        <f t="shared" si="0"/>
        <v>115</v>
      </c>
      <c r="U38" s="21">
        <f t="shared" si="1"/>
        <v>365</v>
      </c>
      <c r="V38" s="311">
        <f t="shared" si="2"/>
        <v>250</v>
      </c>
      <c r="W38" s="140">
        <f t="shared" si="3"/>
        <v>0</v>
      </c>
      <c r="X38" s="141">
        <f t="shared" si="4"/>
        <v>0</v>
      </c>
      <c r="Y38" s="141">
        <v>0</v>
      </c>
    </row>
    <row r="39" spans="1:25" ht="15" x14ac:dyDescent="0.2">
      <c r="A39" s="276" t="s">
        <v>697</v>
      </c>
      <c r="B39" s="23" t="s">
        <v>334</v>
      </c>
      <c r="C39" s="23" t="s">
        <v>173</v>
      </c>
      <c r="D39" s="139" t="str">
        <f>VLOOKUP(C39,'Seznam HS - nemaš'!$A$1:$B$96,2,FALSE)</f>
        <v>411401</v>
      </c>
      <c r="E39" s="22" t="s">
        <v>704</v>
      </c>
      <c r="F39" s="30" t="s">
        <v>357</v>
      </c>
      <c r="G39" s="30"/>
      <c r="H39" s="28">
        <f>+IF(ISBLANK(I39),0,VLOOKUP(I39,'8Příloha_2_ceník_pravid_úklid'!$B$9:$C$30,2,0))</f>
        <v>7</v>
      </c>
      <c r="I39" s="143" t="s">
        <v>14</v>
      </c>
      <c r="J39" s="145">
        <v>1.62</v>
      </c>
      <c r="K39" s="275" t="s">
        <v>50</v>
      </c>
      <c r="L39" s="156" t="s">
        <v>21</v>
      </c>
      <c r="M39" s="22" t="s">
        <v>49</v>
      </c>
      <c r="N39" s="24">
        <f>IF((VLOOKUP(I39,'8Příloha_2_ceník_pravid_úklid'!$B$9:$I$30,8,0))=0,VLOOKUP(I39,'8Příloha_2_ceník_pravid_úklid'!$B$9:$K$30,10,0),VLOOKUP(I39,'8Příloha_2_ceník_pravid_úklid'!$B$9:$I$30,8,0))</f>
        <v>0</v>
      </c>
      <c r="O39" s="20">
        <v>1</v>
      </c>
      <c r="P39" s="20">
        <v>1</v>
      </c>
      <c r="Q39" s="20">
        <v>0</v>
      </c>
      <c r="R39" s="20">
        <v>0</v>
      </c>
      <c r="S39" s="21">
        <f>NETWORKDAYS.INTL(DATE(2018,1,1),DATE(2018,12,31),1,{"2018/1/1";"2018/3/30";"2018/4/2";"2018/5/1";"2018/5/8";"2018/7/5";"2018/7/6";"2018/09/28";"2018/11/17";"2018/12/24";"2018/12/25";"2018/12/26"})</f>
        <v>250</v>
      </c>
      <c r="T39" s="21">
        <f t="shared" si="0"/>
        <v>115</v>
      </c>
      <c r="U39" s="21">
        <f t="shared" si="1"/>
        <v>365</v>
      </c>
      <c r="V39" s="311">
        <f t="shared" si="2"/>
        <v>250</v>
      </c>
      <c r="W39" s="140">
        <f t="shared" si="3"/>
        <v>0</v>
      </c>
      <c r="X39" s="141">
        <f t="shared" si="4"/>
        <v>0</v>
      </c>
      <c r="Y39" s="141">
        <v>0</v>
      </c>
    </row>
    <row r="40" spans="1:25" ht="15" x14ac:dyDescent="0.2">
      <c r="A40" s="276" t="s">
        <v>697</v>
      </c>
      <c r="B40" s="23" t="s">
        <v>334</v>
      </c>
      <c r="C40" s="23" t="s">
        <v>173</v>
      </c>
      <c r="D40" s="139" t="str">
        <f>VLOOKUP(C40,'Seznam HS - nemaš'!$A$1:$B$96,2,FALSE)</f>
        <v>411401</v>
      </c>
      <c r="E40" s="22" t="s">
        <v>705</v>
      </c>
      <c r="F40" s="30" t="s">
        <v>494</v>
      </c>
      <c r="G40" s="30"/>
      <c r="H40" s="28">
        <f>+IF(ISBLANK(I40),0,VLOOKUP(I40,'8Příloha_2_ceník_pravid_úklid'!$B$9:$C$30,2,0))</f>
        <v>10</v>
      </c>
      <c r="I40" s="143" t="s">
        <v>0</v>
      </c>
      <c r="J40" s="145">
        <v>4.7300000000000004</v>
      </c>
      <c r="K40" s="275" t="s">
        <v>50</v>
      </c>
      <c r="L40" s="156" t="s">
        <v>21</v>
      </c>
      <c r="M40" s="22" t="s">
        <v>49</v>
      </c>
      <c r="N40" s="24">
        <f>IF((VLOOKUP(I40,'8Příloha_2_ceník_pravid_úklid'!$B$9:$I$30,8,0))=0,VLOOKUP(I40,'8Příloha_2_ceník_pravid_úklid'!$B$9:$K$30,10,0),VLOOKUP(I40,'8Příloha_2_ceník_pravid_úklid'!$B$9:$I$30,8,0))</f>
        <v>0</v>
      </c>
      <c r="O40" s="20">
        <v>1</v>
      </c>
      <c r="P40" s="20">
        <v>1</v>
      </c>
      <c r="Q40" s="20">
        <v>0</v>
      </c>
      <c r="R40" s="20">
        <v>0</v>
      </c>
      <c r="S40" s="21">
        <f>NETWORKDAYS.INTL(DATE(2018,1,1),DATE(2018,12,31),1,{"2018/1/1";"2018/3/30";"2018/4/2";"2018/5/1";"2018/5/8";"2018/7/5";"2018/7/6";"2018/09/28";"2018/11/17";"2018/12/24";"2018/12/25";"2018/12/26"})</f>
        <v>250</v>
      </c>
      <c r="T40" s="21">
        <f t="shared" si="0"/>
        <v>115</v>
      </c>
      <c r="U40" s="21">
        <f t="shared" si="1"/>
        <v>365</v>
      </c>
      <c r="V40" s="311">
        <f t="shared" si="2"/>
        <v>250</v>
      </c>
      <c r="W40" s="140">
        <f t="shared" si="3"/>
        <v>0</v>
      </c>
      <c r="X40" s="141">
        <f t="shared" si="4"/>
        <v>0</v>
      </c>
      <c r="Y40" s="141">
        <v>0</v>
      </c>
    </row>
    <row r="41" spans="1:25" ht="15" x14ac:dyDescent="0.2">
      <c r="A41" s="276" t="s">
        <v>697</v>
      </c>
      <c r="B41" s="23" t="s">
        <v>334</v>
      </c>
      <c r="C41" s="23"/>
      <c r="D41" s="139">
        <f>VLOOKUP(C41,'Seznam HS - nemaš'!$A$1:$B$96,2,FALSE)</f>
        <v>0</v>
      </c>
      <c r="E41" s="22" t="s">
        <v>706</v>
      </c>
      <c r="F41" s="30" t="s">
        <v>53</v>
      </c>
      <c r="G41" s="30"/>
      <c r="H41" s="28">
        <f>+IF(ISBLANK(I41),0,VLOOKUP(I41,'8Příloha_2_ceník_pravid_úklid'!$B$9:$C$30,2,0))</f>
        <v>6</v>
      </c>
      <c r="I41" s="143" t="s">
        <v>1</v>
      </c>
      <c r="J41" s="145">
        <v>4.42</v>
      </c>
      <c r="K41" s="275" t="s">
        <v>50</v>
      </c>
      <c r="L41" s="156" t="s">
        <v>21</v>
      </c>
      <c r="M41" s="22" t="s">
        <v>49</v>
      </c>
      <c r="N41" s="24">
        <f>IF((VLOOKUP(I41,'8Příloha_2_ceník_pravid_úklid'!$B$9:$I$30,8,0))=0,VLOOKUP(I41,'8Příloha_2_ceník_pravid_úklid'!$B$9:$K$30,10,0),VLOOKUP(I41,'8Příloha_2_ceník_pravid_úklid'!$B$9:$I$30,8,0))</f>
        <v>0</v>
      </c>
      <c r="O41" s="20">
        <v>1</v>
      </c>
      <c r="P41" s="20">
        <v>1</v>
      </c>
      <c r="Q41" s="20">
        <v>0</v>
      </c>
      <c r="R41" s="20">
        <v>0</v>
      </c>
      <c r="S41" s="21">
        <f>NETWORKDAYS.INTL(DATE(2018,1,1),DATE(2018,12,31),1,{"2018/1/1";"2018/3/30";"2018/4/2";"2018/5/1";"2018/5/8";"2018/7/5";"2018/7/6";"2018/09/28";"2018/11/17";"2018/12/24";"2018/12/25";"2018/12/26"})</f>
        <v>250</v>
      </c>
      <c r="T41" s="21">
        <f t="shared" si="0"/>
        <v>115</v>
      </c>
      <c r="U41" s="21">
        <f t="shared" si="1"/>
        <v>365</v>
      </c>
      <c r="V41" s="311">
        <f t="shared" si="2"/>
        <v>250</v>
      </c>
      <c r="W41" s="140">
        <f t="shared" si="3"/>
        <v>0</v>
      </c>
      <c r="X41" s="141">
        <f t="shared" si="4"/>
        <v>0</v>
      </c>
      <c r="Y41" s="141">
        <v>0</v>
      </c>
    </row>
    <row r="42" spans="1:25" ht="15" x14ac:dyDescent="0.2">
      <c r="A42" s="276" t="s">
        <v>697</v>
      </c>
      <c r="B42" s="23" t="s">
        <v>334</v>
      </c>
      <c r="C42" s="23" t="s">
        <v>173</v>
      </c>
      <c r="D42" s="139" t="str">
        <f>VLOOKUP(C42,'Seznam HS - nemaš'!$A$1:$B$96,2,FALSE)</f>
        <v>411401</v>
      </c>
      <c r="E42" s="22" t="s">
        <v>707</v>
      </c>
      <c r="F42" s="30" t="s">
        <v>701</v>
      </c>
      <c r="G42" s="30"/>
      <c r="H42" s="28">
        <f>+IF(ISBLANK(I42),0,VLOOKUP(I42,'8Příloha_2_ceník_pravid_úklid'!$B$9:$C$30,2,0))</f>
        <v>7</v>
      </c>
      <c r="I42" s="143" t="s">
        <v>14</v>
      </c>
      <c r="J42" s="145">
        <v>24.93</v>
      </c>
      <c r="K42" s="275" t="s">
        <v>50</v>
      </c>
      <c r="L42" s="156" t="s">
        <v>21</v>
      </c>
      <c r="M42" s="22" t="s">
        <v>49</v>
      </c>
      <c r="N42" s="24">
        <f>IF((VLOOKUP(I42,'8Příloha_2_ceník_pravid_úklid'!$B$9:$I$30,8,0))=0,VLOOKUP(I42,'8Příloha_2_ceník_pravid_úklid'!$B$9:$K$30,10,0),VLOOKUP(I42,'8Příloha_2_ceník_pravid_úklid'!$B$9:$I$30,8,0))</f>
        <v>0</v>
      </c>
      <c r="O42" s="20">
        <v>1</v>
      </c>
      <c r="P42" s="20">
        <v>1</v>
      </c>
      <c r="Q42" s="20">
        <v>0</v>
      </c>
      <c r="R42" s="20">
        <v>0</v>
      </c>
      <c r="S42" s="21">
        <f>NETWORKDAYS.INTL(DATE(2018,1,1),DATE(2018,12,31),1,{"2018/1/1";"2018/3/30";"2018/4/2";"2018/5/1";"2018/5/8";"2018/7/5";"2018/7/6";"2018/09/28";"2018/11/17";"2018/12/24";"2018/12/25";"2018/12/26"})</f>
        <v>250</v>
      </c>
      <c r="T42" s="21">
        <f t="shared" si="0"/>
        <v>115</v>
      </c>
      <c r="U42" s="21">
        <f t="shared" si="1"/>
        <v>365</v>
      </c>
      <c r="V42" s="311">
        <f t="shared" si="2"/>
        <v>250</v>
      </c>
      <c r="W42" s="140">
        <f t="shared" si="3"/>
        <v>0</v>
      </c>
      <c r="X42" s="141">
        <f t="shared" si="4"/>
        <v>0</v>
      </c>
      <c r="Y42" s="141">
        <v>0</v>
      </c>
    </row>
    <row r="43" spans="1:25" ht="15" x14ac:dyDescent="0.2">
      <c r="A43" s="276" t="s">
        <v>697</v>
      </c>
      <c r="B43" s="23" t="s">
        <v>334</v>
      </c>
      <c r="C43" s="23" t="s">
        <v>173</v>
      </c>
      <c r="D43" s="139" t="str">
        <f>VLOOKUP(C43,'Seznam HS - nemaš'!$A$1:$B$96,2,FALSE)</f>
        <v>411401</v>
      </c>
      <c r="E43" s="22" t="s">
        <v>708</v>
      </c>
      <c r="F43" s="30" t="s">
        <v>701</v>
      </c>
      <c r="G43" s="30"/>
      <c r="H43" s="28">
        <f>+IF(ISBLANK(I43),0,VLOOKUP(I43,'8Příloha_2_ceník_pravid_úklid'!$B$9:$C$30,2,0))</f>
        <v>7</v>
      </c>
      <c r="I43" s="143" t="s">
        <v>14</v>
      </c>
      <c r="J43" s="145">
        <v>19.940000000000001</v>
      </c>
      <c r="K43" s="275" t="s">
        <v>50</v>
      </c>
      <c r="L43" s="156" t="s">
        <v>21</v>
      </c>
      <c r="M43" s="22" t="s">
        <v>49</v>
      </c>
      <c r="N43" s="24">
        <f>IF((VLOOKUP(I43,'8Příloha_2_ceník_pravid_úklid'!$B$9:$I$30,8,0))=0,VLOOKUP(I43,'8Příloha_2_ceník_pravid_úklid'!$B$9:$K$30,10,0),VLOOKUP(I43,'8Příloha_2_ceník_pravid_úklid'!$B$9:$I$30,8,0))</f>
        <v>0</v>
      </c>
      <c r="O43" s="20">
        <v>1</v>
      </c>
      <c r="P43" s="20">
        <v>1</v>
      </c>
      <c r="Q43" s="20">
        <v>0</v>
      </c>
      <c r="R43" s="20">
        <v>0</v>
      </c>
      <c r="S43" s="21">
        <f>NETWORKDAYS.INTL(DATE(2018,1,1),DATE(2018,12,31),1,{"2018/1/1";"2018/3/30";"2018/4/2";"2018/5/1";"2018/5/8";"2018/7/5";"2018/7/6";"2018/09/28";"2018/11/17";"2018/12/24";"2018/12/25";"2018/12/26"})</f>
        <v>250</v>
      </c>
      <c r="T43" s="21">
        <f t="shared" si="0"/>
        <v>115</v>
      </c>
      <c r="U43" s="21">
        <f t="shared" si="1"/>
        <v>365</v>
      </c>
      <c r="V43" s="311">
        <f t="shared" si="2"/>
        <v>250</v>
      </c>
      <c r="W43" s="140">
        <f t="shared" si="3"/>
        <v>0</v>
      </c>
      <c r="X43" s="141">
        <f t="shared" si="4"/>
        <v>0</v>
      </c>
      <c r="Y43" s="141">
        <v>0</v>
      </c>
    </row>
    <row r="44" spans="1:25" ht="15" x14ac:dyDescent="0.2">
      <c r="A44" s="276" t="s">
        <v>697</v>
      </c>
      <c r="B44" s="23" t="s">
        <v>334</v>
      </c>
      <c r="C44" s="23" t="s">
        <v>173</v>
      </c>
      <c r="D44" s="139" t="str">
        <f>VLOOKUP(C44,'Seznam HS - nemaš'!$A$1:$B$96,2,FALSE)</f>
        <v>411401</v>
      </c>
      <c r="E44" s="22" t="s">
        <v>709</v>
      </c>
      <c r="F44" s="30" t="s">
        <v>710</v>
      </c>
      <c r="G44" s="30"/>
      <c r="H44" s="28">
        <f>+IF(ISBLANK(I44),0,VLOOKUP(I44,'8Příloha_2_ceník_pravid_úklid'!$B$9:$C$30,2,0))</f>
        <v>4</v>
      </c>
      <c r="I44" s="143" t="s">
        <v>9</v>
      </c>
      <c r="J44" s="145">
        <v>28.2</v>
      </c>
      <c r="K44" s="275" t="s">
        <v>51</v>
      </c>
      <c r="L44" s="156" t="s">
        <v>21</v>
      </c>
      <c r="M44" s="22" t="s">
        <v>49</v>
      </c>
      <c r="N44" s="24">
        <f>IF((VLOOKUP(I44,'8Příloha_2_ceník_pravid_úklid'!$B$9:$I$30,8,0))=0,VLOOKUP(I44,'8Příloha_2_ceník_pravid_úklid'!$B$9:$K$30,10,0),VLOOKUP(I44,'8Příloha_2_ceník_pravid_úklid'!$B$9:$I$30,8,0))</f>
        <v>0</v>
      </c>
      <c r="O44" s="20">
        <v>1</v>
      </c>
      <c r="P44" s="20">
        <v>1</v>
      </c>
      <c r="Q44" s="20">
        <v>0</v>
      </c>
      <c r="R44" s="20">
        <v>0</v>
      </c>
      <c r="S44" s="21">
        <f>NETWORKDAYS.INTL(DATE(2018,1,1),DATE(2018,12,31),1,{"2018/1/1";"2018/3/30";"2018/4/2";"2018/5/1";"2018/5/8";"2018/7/5";"2018/7/6";"2018/09/28";"2018/11/17";"2018/12/24";"2018/12/25";"2018/12/26"})</f>
        <v>250</v>
      </c>
      <c r="T44" s="21">
        <f t="shared" si="0"/>
        <v>115</v>
      </c>
      <c r="U44" s="21">
        <f t="shared" si="1"/>
        <v>365</v>
      </c>
      <c r="V44" s="311">
        <f t="shared" si="2"/>
        <v>250</v>
      </c>
      <c r="W44" s="140">
        <f t="shared" si="3"/>
        <v>0</v>
      </c>
      <c r="X44" s="141">
        <f t="shared" si="4"/>
        <v>0</v>
      </c>
      <c r="Y44" s="141">
        <v>0</v>
      </c>
    </row>
    <row r="45" spans="1:25" ht="15" x14ac:dyDescent="0.2">
      <c r="A45" s="276" t="s">
        <v>697</v>
      </c>
      <c r="B45" s="23" t="s">
        <v>334</v>
      </c>
      <c r="C45" s="23" t="s">
        <v>171</v>
      </c>
      <c r="D45" s="139" t="str">
        <f>VLOOKUP(C45,'Seznam HS - nemaš'!$A$1:$B$96,2,FALSE)</f>
        <v>411400</v>
      </c>
      <c r="E45" s="22" t="s">
        <v>711</v>
      </c>
      <c r="F45" s="30" t="s">
        <v>710</v>
      </c>
      <c r="G45" s="30"/>
      <c r="H45" s="28">
        <f>+IF(ISBLANK(I45),0,VLOOKUP(I45,'8Příloha_2_ceník_pravid_úklid'!$B$9:$C$30,2,0))</f>
        <v>4</v>
      </c>
      <c r="I45" s="143" t="s">
        <v>9</v>
      </c>
      <c r="J45" s="145">
        <v>15.53</v>
      </c>
      <c r="K45" s="275" t="s">
        <v>51</v>
      </c>
      <c r="L45" s="156" t="s">
        <v>21</v>
      </c>
      <c r="M45" s="22" t="s">
        <v>49</v>
      </c>
      <c r="N45" s="24">
        <f>IF((VLOOKUP(I45,'8Příloha_2_ceník_pravid_úklid'!$B$9:$I$30,8,0))=0,VLOOKUP(I45,'8Příloha_2_ceník_pravid_úklid'!$B$9:$K$30,10,0),VLOOKUP(I45,'8Příloha_2_ceník_pravid_úklid'!$B$9:$I$30,8,0))</f>
        <v>0</v>
      </c>
      <c r="O45" s="20">
        <v>1</v>
      </c>
      <c r="P45" s="20">
        <v>1</v>
      </c>
      <c r="Q45" s="20">
        <v>0</v>
      </c>
      <c r="R45" s="20">
        <v>0</v>
      </c>
      <c r="S45" s="21">
        <f>NETWORKDAYS.INTL(DATE(2018,1,1),DATE(2018,12,31),1,{"2018/1/1";"2018/3/30";"2018/4/2";"2018/5/1";"2018/5/8";"2018/7/5";"2018/7/6";"2018/09/28";"2018/11/17";"2018/12/24";"2018/12/25";"2018/12/26"})</f>
        <v>250</v>
      </c>
      <c r="T45" s="21">
        <f t="shared" si="0"/>
        <v>115</v>
      </c>
      <c r="U45" s="21">
        <f t="shared" si="1"/>
        <v>365</v>
      </c>
      <c r="V45" s="311">
        <f t="shared" si="2"/>
        <v>250</v>
      </c>
      <c r="W45" s="140">
        <f t="shared" si="3"/>
        <v>0</v>
      </c>
      <c r="X45" s="141">
        <f t="shared" si="4"/>
        <v>0</v>
      </c>
      <c r="Y45" s="141">
        <v>0</v>
      </c>
    </row>
    <row r="46" spans="1:25" ht="15" x14ac:dyDescent="0.2">
      <c r="A46" s="276" t="s">
        <v>697</v>
      </c>
      <c r="B46" s="23" t="s">
        <v>334</v>
      </c>
      <c r="C46" s="23" t="s">
        <v>171</v>
      </c>
      <c r="D46" s="139" t="str">
        <f>VLOOKUP(C46,'Seznam HS - nemaš'!$A$1:$B$96,2,FALSE)</f>
        <v>411400</v>
      </c>
      <c r="E46" s="22" t="s">
        <v>712</v>
      </c>
      <c r="F46" s="30" t="s">
        <v>612</v>
      </c>
      <c r="G46" s="30"/>
      <c r="H46" s="28">
        <f>+IF(ISBLANK(I46),0,VLOOKUP(I46,'8Příloha_2_ceník_pravid_úklid'!$B$9:$C$30,2,0))</f>
        <v>2</v>
      </c>
      <c r="I46" s="143" t="s">
        <v>2</v>
      </c>
      <c r="J46" s="145">
        <v>14.91</v>
      </c>
      <c r="K46" s="275" t="s">
        <v>51</v>
      </c>
      <c r="L46" s="156" t="s">
        <v>21</v>
      </c>
      <c r="M46" s="22" t="s">
        <v>49</v>
      </c>
      <c r="N46" s="24">
        <f>IF((VLOOKUP(I46,'8Příloha_2_ceník_pravid_úklid'!$B$9:$I$30,8,0))=0,VLOOKUP(I46,'8Příloha_2_ceník_pravid_úklid'!$B$9:$K$30,10,0),VLOOKUP(I46,'8Příloha_2_ceník_pravid_úklid'!$B$9:$I$30,8,0))</f>
        <v>0</v>
      </c>
      <c r="O46" s="20">
        <v>1</v>
      </c>
      <c r="P46" s="20">
        <v>1</v>
      </c>
      <c r="Q46" s="20">
        <v>0</v>
      </c>
      <c r="R46" s="20">
        <v>0</v>
      </c>
      <c r="S46" s="21">
        <f>NETWORKDAYS.INTL(DATE(2018,1,1),DATE(2018,12,31),1,{"2018/1/1";"2018/3/30";"2018/4/2";"2018/5/1";"2018/5/8";"2018/7/5";"2018/7/6";"2018/09/28";"2018/11/17";"2018/12/24";"2018/12/25";"2018/12/26"})</f>
        <v>250</v>
      </c>
      <c r="T46" s="21">
        <f t="shared" si="0"/>
        <v>115</v>
      </c>
      <c r="U46" s="21">
        <f t="shared" si="1"/>
        <v>365</v>
      </c>
      <c r="V46" s="311">
        <f t="shared" si="2"/>
        <v>250</v>
      </c>
      <c r="W46" s="140">
        <f t="shared" si="3"/>
        <v>0</v>
      </c>
      <c r="X46" s="141">
        <f t="shared" si="4"/>
        <v>0</v>
      </c>
      <c r="Y46" s="141">
        <v>0</v>
      </c>
    </row>
    <row r="47" spans="1:25" ht="15" x14ac:dyDescent="0.2">
      <c r="A47" s="276" t="s">
        <v>697</v>
      </c>
      <c r="B47" s="23" t="s">
        <v>334</v>
      </c>
      <c r="C47" s="23"/>
      <c r="D47" s="139">
        <f>VLOOKUP(C47,'Seznam HS - nemaš'!$A$1:$B$96,2,FALSE)</f>
        <v>0</v>
      </c>
      <c r="E47" s="22" t="s">
        <v>713</v>
      </c>
      <c r="F47" s="30" t="s">
        <v>565</v>
      </c>
      <c r="G47" s="30" t="s">
        <v>548</v>
      </c>
      <c r="H47" s="28">
        <f>+IF(ISBLANK(I47),0,VLOOKUP(I47,'8Příloha_2_ceník_pravid_úklid'!$B$9:$C$30,2,0))</f>
        <v>2</v>
      </c>
      <c r="I47" s="143" t="s">
        <v>2</v>
      </c>
      <c r="J47" s="145">
        <v>14.53</v>
      </c>
      <c r="K47" s="275" t="s">
        <v>51</v>
      </c>
      <c r="L47" s="156" t="s">
        <v>21</v>
      </c>
      <c r="M47" s="22" t="s">
        <v>49</v>
      </c>
      <c r="N47" s="24">
        <f>IF((VLOOKUP(I47,'8Příloha_2_ceník_pravid_úklid'!$B$9:$I$30,8,0))=0,VLOOKUP(I47,'8Příloha_2_ceník_pravid_úklid'!$B$9:$K$30,10,0),VLOOKUP(I47,'8Příloha_2_ceník_pravid_úklid'!$B$9:$I$30,8,0))</f>
        <v>0</v>
      </c>
      <c r="O47" s="20">
        <v>1</v>
      </c>
      <c r="P47" s="20">
        <v>1</v>
      </c>
      <c r="Q47" s="20">
        <v>0</v>
      </c>
      <c r="R47" s="20">
        <v>0</v>
      </c>
      <c r="S47" s="21">
        <f>NETWORKDAYS.INTL(DATE(2018,1,1),DATE(2018,12,31),1,{"2018/1/1";"2018/3/30";"2018/4/2";"2018/5/1";"2018/5/8";"2018/7/5";"2018/7/6";"2018/09/28";"2018/11/17";"2018/12/24";"2018/12/25";"2018/12/26"})</f>
        <v>250</v>
      </c>
      <c r="T47" s="21">
        <f t="shared" si="0"/>
        <v>115</v>
      </c>
      <c r="U47" s="21">
        <f t="shared" si="1"/>
        <v>365</v>
      </c>
      <c r="V47" s="311">
        <f t="shared" si="2"/>
        <v>250</v>
      </c>
      <c r="W47" s="140">
        <f t="shared" si="3"/>
        <v>0</v>
      </c>
      <c r="X47" s="141">
        <f t="shared" si="4"/>
        <v>0</v>
      </c>
      <c r="Y47" s="141">
        <v>0</v>
      </c>
    </row>
    <row r="48" spans="1:25" ht="15" x14ac:dyDescent="0.2">
      <c r="A48" s="276" t="s">
        <v>714</v>
      </c>
      <c r="B48" s="23" t="s">
        <v>334</v>
      </c>
      <c r="C48" s="23" t="s">
        <v>139</v>
      </c>
      <c r="D48" s="139" t="str">
        <f>VLOOKUP(C48,'Seznam HS - nemaš'!$A$1:$B$96,2,FALSE)</f>
        <v>401404</v>
      </c>
      <c r="E48" s="22" t="s">
        <v>715</v>
      </c>
      <c r="F48" s="30" t="s">
        <v>428</v>
      </c>
      <c r="G48" s="30" t="s">
        <v>716</v>
      </c>
      <c r="H48" s="28">
        <f>+IF(ISBLANK(I48),0,VLOOKUP(I48,'8Příloha_2_ceník_pravid_úklid'!$B$9:$C$30,2,0))</f>
        <v>2</v>
      </c>
      <c r="I48" s="143" t="s">
        <v>2</v>
      </c>
      <c r="J48" s="145">
        <v>13.83</v>
      </c>
      <c r="K48" s="275" t="s">
        <v>51</v>
      </c>
      <c r="L48" s="156" t="s">
        <v>21</v>
      </c>
      <c r="M48" s="22" t="s">
        <v>49</v>
      </c>
      <c r="N48" s="24">
        <f>IF((VLOOKUP(I48,'8Příloha_2_ceník_pravid_úklid'!$B$9:$I$30,8,0))=0,VLOOKUP(I48,'8Příloha_2_ceník_pravid_úklid'!$B$9:$K$30,10,0),VLOOKUP(I48,'8Příloha_2_ceník_pravid_úklid'!$B$9:$I$30,8,0))</f>
        <v>0</v>
      </c>
      <c r="O48" s="20">
        <v>1</v>
      </c>
      <c r="P48" s="20">
        <v>1</v>
      </c>
      <c r="Q48" s="20">
        <v>0</v>
      </c>
      <c r="R48" s="20">
        <v>0</v>
      </c>
      <c r="S48" s="21">
        <f>NETWORKDAYS.INTL(DATE(2018,1,1),DATE(2018,12,31),1,{"2018/1/1";"2018/3/30";"2018/4/2";"2018/5/1";"2018/5/8";"2018/7/5";"2018/7/6";"2018/09/28";"2018/11/17";"2018/12/24";"2018/12/25";"2018/12/26"})</f>
        <v>250</v>
      </c>
      <c r="T48" s="21">
        <f t="shared" si="0"/>
        <v>115</v>
      </c>
      <c r="U48" s="21">
        <f t="shared" si="1"/>
        <v>365</v>
      </c>
      <c r="V48" s="311">
        <f t="shared" si="2"/>
        <v>250</v>
      </c>
      <c r="W48" s="140">
        <f t="shared" si="3"/>
        <v>0</v>
      </c>
      <c r="X48" s="141">
        <f t="shared" si="4"/>
        <v>0</v>
      </c>
      <c r="Y48" s="141">
        <v>0</v>
      </c>
    </row>
    <row r="49" spans="1:25" ht="15" x14ac:dyDescent="0.2">
      <c r="A49" s="276" t="s">
        <v>714</v>
      </c>
      <c r="B49" s="23" t="s">
        <v>334</v>
      </c>
      <c r="C49" s="23" t="s">
        <v>139</v>
      </c>
      <c r="D49" s="139" t="str">
        <f>VLOOKUP(C49,'Seznam HS - nemaš'!$A$1:$B$96,2,FALSE)</f>
        <v>401404</v>
      </c>
      <c r="E49" s="22" t="s">
        <v>717</v>
      </c>
      <c r="F49" s="30" t="s">
        <v>612</v>
      </c>
      <c r="G49" s="30"/>
      <c r="H49" s="28">
        <f>+IF(ISBLANK(I49),0,VLOOKUP(I49,'8Příloha_2_ceník_pravid_úklid'!$B$9:$C$30,2,0))</f>
        <v>2</v>
      </c>
      <c r="I49" s="143" t="s">
        <v>2</v>
      </c>
      <c r="J49" s="145">
        <v>23.47</v>
      </c>
      <c r="K49" s="275" t="s">
        <v>51</v>
      </c>
      <c r="L49" s="156" t="s">
        <v>65</v>
      </c>
      <c r="M49" s="22" t="s">
        <v>49</v>
      </c>
      <c r="N49" s="24">
        <f>IF((VLOOKUP(I49,'8Příloha_2_ceník_pravid_úklid'!$B$9:$I$30,8,0))=0,VLOOKUP(I49,'8Příloha_2_ceník_pravid_úklid'!$B$9:$K$30,10,0),VLOOKUP(I49,'8Příloha_2_ceník_pravid_úklid'!$B$9:$I$30,8,0))</f>
        <v>0</v>
      </c>
      <c r="O49" s="20">
        <v>2</v>
      </c>
      <c r="P49" s="20">
        <v>1</v>
      </c>
      <c r="Q49" s="20">
        <v>0</v>
      </c>
      <c r="R49" s="20">
        <v>0</v>
      </c>
      <c r="S49" s="21">
        <f>NETWORKDAYS.INTL(DATE(2018,1,1),DATE(2018,12,31),1,{"2018/1/1";"2018/3/30";"2018/4/2";"2018/5/1";"2018/5/8";"2018/7/5";"2018/7/6";"2018/09/28";"2018/11/17";"2018/12/24";"2018/12/25";"2018/12/26"})</f>
        <v>250</v>
      </c>
      <c r="T49" s="21">
        <f t="shared" si="0"/>
        <v>115</v>
      </c>
      <c r="U49" s="21">
        <f t="shared" si="1"/>
        <v>365</v>
      </c>
      <c r="V49" s="311">
        <f t="shared" si="2"/>
        <v>500</v>
      </c>
      <c r="W49" s="140">
        <f t="shared" si="3"/>
        <v>0</v>
      </c>
      <c r="X49" s="141">
        <f t="shared" si="4"/>
        <v>0</v>
      </c>
      <c r="Y49" s="141">
        <v>0</v>
      </c>
    </row>
    <row r="50" spans="1:25" ht="15" x14ac:dyDescent="0.2">
      <c r="A50" s="276" t="s">
        <v>714</v>
      </c>
      <c r="B50" s="23" t="s">
        <v>334</v>
      </c>
      <c r="C50" s="23" t="s">
        <v>139</v>
      </c>
      <c r="D50" s="139" t="str">
        <f>VLOOKUP(C50,'Seznam HS - nemaš'!$A$1:$B$96,2,FALSE)</f>
        <v>401404</v>
      </c>
      <c r="E50" s="22" t="s">
        <v>718</v>
      </c>
      <c r="F50" s="30" t="s">
        <v>437</v>
      </c>
      <c r="G50" s="30"/>
      <c r="H50" s="28">
        <f>+IF(ISBLANK(I50),0,VLOOKUP(I50,'8Příloha_2_ceník_pravid_úklid'!$B$9:$C$30,2,0))</f>
        <v>7</v>
      </c>
      <c r="I50" s="143" t="s">
        <v>14</v>
      </c>
      <c r="J50" s="145">
        <v>1.68</v>
      </c>
      <c r="K50" s="275" t="s">
        <v>50</v>
      </c>
      <c r="L50" s="156" t="s">
        <v>21</v>
      </c>
      <c r="M50" s="22" t="s">
        <v>49</v>
      </c>
      <c r="N50" s="24">
        <f>IF((VLOOKUP(I50,'8Příloha_2_ceník_pravid_úklid'!$B$9:$I$30,8,0))=0,VLOOKUP(I50,'8Příloha_2_ceník_pravid_úklid'!$B$9:$K$30,10,0),VLOOKUP(I50,'8Příloha_2_ceník_pravid_úklid'!$B$9:$I$30,8,0))</f>
        <v>0</v>
      </c>
      <c r="O50" s="20">
        <v>1</v>
      </c>
      <c r="P50" s="20">
        <v>1</v>
      </c>
      <c r="Q50" s="20">
        <v>0</v>
      </c>
      <c r="R50" s="20">
        <v>0</v>
      </c>
      <c r="S50" s="21">
        <f>NETWORKDAYS.INTL(DATE(2018,1,1),DATE(2018,12,31),1,{"2018/1/1";"2018/3/30";"2018/4/2";"2018/5/1";"2018/5/8";"2018/7/5";"2018/7/6";"2018/09/28";"2018/11/17";"2018/12/24";"2018/12/25";"2018/12/26"})</f>
        <v>250</v>
      </c>
      <c r="T50" s="21">
        <f t="shared" si="0"/>
        <v>115</v>
      </c>
      <c r="U50" s="21">
        <f t="shared" si="1"/>
        <v>365</v>
      </c>
      <c r="V50" s="311">
        <f t="shared" si="2"/>
        <v>250</v>
      </c>
      <c r="W50" s="140">
        <f t="shared" si="3"/>
        <v>0</v>
      </c>
      <c r="X50" s="141">
        <f t="shared" si="4"/>
        <v>0</v>
      </c>
      <c r="Y50" s="141">
        <v>0</v>
      </c>
    </row>
    <row r="51" spans="1:25" ht="15" x14ac:dyDescent="0.2">
      <c r="A51" s="276" t="s">
        <v>714</v>
      </c>
      <c r="B51" s="23" t="s">
        <v>334</v>
      </c>
      <c r="C51" s="23" t="s">
        <v>139</v>
      </c>
      <c r="D51" s="139" t="str">
        <f>VLOOKUP(C51,'Seznam HS - nemaš'!$A$1:$B$96,2,FALSE)</f>
        <v>401404</v>
      </c>
      <c r="E51" s="22" t="s">
        <v>719</v>
      </c>
      <c r="F51" s="30" t="s">
        <v>477</v>
      </c>
      <c r="G51" s="30"/>
      <c r="H51" s="28">
        <f>+IF(ISBLANK(I51),0,VLOOKUP(I51,'8Příloha_2_ceník_pravid_úklid'!$B$9:$C$30,2,0))</f>
        <v>7</v>
      </c>
      <c r="I51" s="143" t="s">
        <v>14</v>
      </c>
      <c r="J51" s="145">
        <v>14.29</v>
      </c>
      <c r="K51" s="275" t="s">
        <v>50</v>
      </c>
      <c r="L51" s="156" t="s">
        <v>21</v>
      </c>
      <c r="M51" s="22" t="s">
        <v>49</v>
      </c>
      <c r="N51" s="24">
        <f>IF((VLOOKUP(I51,'8Příloha_2_ceník_pravid_úklid'!$B$9:$I$30,8,0))=0,VLOOKUP(I51,'8Příloha_2_ceník_pravid_úklid'!$B$9:$K$30,10,0),VLOOKUP(I51,'8Příloha_2_ceník_pravid_úklid'!$B$9:$I$30,8,0))</f>
        <v>0</v>
      </c>
      <c r="O51" s="20">
        <v>1</v>
      </c>
      <c r="P51" s="20">
        <v>1</v>
      </c>
      <c r="Q51" s="20">
        <v>0</v>
      </c>
      <c r="R51" s="20">
        <v>0</v>
      </c>
      <c r="S51" s="21">
        <f>NETWORKDAYS.INTL(DATE(2018,1,1),DATE(2018,12,31),1,{"2018/1/1";"2018/3/30";"2018/4/2";"2018/5/1";"2018/5/8";"2018/7/5";"2018/7/6";"2018/09/28";"2018/11/17";"2018/12/24";"2018/12/25";"2018/12/26"})</f>
        <v>250</v>
      </c>
      <c r="T51" s="21">
        <f t="shared" si="0"/>
        <v>115</v>
      </c>
      <c r="U51" s="21">
        <f t="shared" si="1"/>
        <v>365</v>
      </c>
      <c r="V51" s="311">
        <f t="shared" si="2"/>
        <v>250</v>
      </c>
      <c r="W51" s="140">
        <f t="shared" si="3"/>
        <v>0</v>
      </c>
      <c r="X51" s="141">
        <f t="shared" si="4"/>
        <v>0</v>
      </c>
      <c r="Y51" s="141">
        <v>0</v>
      </c>
    </row>
    <row r="52" spans="1:25" ht="15" x14ac:dyDescent="0.2">
      <c r="A52" s="276" t="s">
        <v>714</v>
      </c>
      <c r="B52" s="23" t="s">
        <v>334</v>
      </c>
      <c r="C52" s="23" t="s">
        <v>139</v>
      </c>
      <c r="D52" s="139" t="str">
        <f>VLOOKUP(C52,'Seznam HS - nemaš'!$A$1:$B$96,2,FALSE)</f>
        <v>401404</v>
      </c>
      <c r="E52" s="22" t="s">
        <v>720</v>
      </c>
      <c r="F52" s="30" t="s">
        <v>389</v>
      </c>
      <c r="G52" s="30"/>
      <c r="H52" s="28">
        <f>+IF(ISBLANK(I52),0,VLOOKUP(I52,'8Příloha_2_ceník_pravid_úklid'!$B$9:$C$30,2,0))</f>
        <v>17</v>
      </c>
      <c r="I52" s="143" t="s">
        <v>13</v>
      </c>
      <c r="J52" s="145">
        <f>1.95+2.22</f>
        <v>4.17</v>
      </c>
      <c r="K52" s="275" t="s">
        <v>50</v>
      </c>
      <c r="L52" s="156" t="s">
        <v>21</v>
      </c>
      <c r="M52" s="22" t="s">
        <v>49</v>
      </c>
      <c r="N52" s="24">
        <f>IF((VLOOKUP(I52,'8Příloha_2_ceník_pravid_úklid'!$B$9:$I$30,8,0))=0,VLOOKUP(I52,'8Příloha_2_ceník_pravid_úklid'!$B$9:$K$30,10,0),VLOOKUP(I52,'8Příloha_2_ceník_pravid_úklid'!$B$9:$I$30,8,0))</f>
        <v>0</v>
      </c>
      <c r="O52" s="20">
        <v>1</v>
      </c>
      <c r="P52" s="20">
        <v>1</v>
      </c>
      <c r="Q52" s="20">
        <v>0</v>
      </c>
      <c r="R52" s="20">
        <v>0</v>
      </c>
      <c r="S52" s="21">
        <f>NETWORKDAYS.INTL(DATE(2018,1,1),DATE(2018,12,31),1,{"2018/1/1";"2018/3/30";"2018/4/2";"2018/5/1";"2018/5/8";"2018/7/5";"2018/7/6";"2018/09/28";"2018/11/17";"2018/12/24";"2018/12/25";"2018/12/26"})</f>
        <v>250</v>
      </c>
      <c r="T52" s="21">
        <f t="shared" si="0"/>
        <v>115</v>
      </c>
      <c r="U52" s="21">
        <f t="shared" si="1"/>
        <v>365</v>
      </c>
      <c r="V52" s="311">
        <f t="shared" si="2"/>
        <v>250</v>
      </c>
      <c r="W52" s="140">
        <f t="shared" si="3"/>
        <v>0</v>
      </c>
      <c r="X52" s="141">
        <f t="shared" si="4"/>
        <v>0</v>
      </c>
      <c r="Y52" s="141">
        <v>0</v>
      </c>
    </row>
    <row r="53" spans="1:25" ht="15" x14ac:dyDescent="0.2">
      <c r="A53" s="235" t="s">
        <v>714</v>
      </c>
      <c r="B53" s="236" t="s">
        <v>334</v>
      </c>
      <c r="C53" s="236" t="s">
        <v>139</v>
      </c>
      <c r="D53" s="535" t="str">
        <f>VLOOKUP(C53,'Seznam HS - nemaš'!$A$1:$B$96,2,FALSE)</f>
        <v>401404</v>
      </c>
      <c r="E53" s="237" t="s">
        <v>721</v>
      </c>
      <c r="F53" s="303" t="s">
        <v>398</v>
      </c>
      <c r="G53" s="303"/>
      <c r="H53" s="224">
        <f>+IF(ISBLANK(I53),0,VLOOKUP(I53,'8Příloha_2_ceník_pravid_úklid'!$B$9:$C$30,2,0))</f>
        <v>0</v>
      </c>
      <c r="I53" s="273"/>
      <c r="J53" s="241"/>
      <c r="K53" s="240"/>
      <c r="L53" s="242" t="s">
        <v>387</v>
      </c>
      <c r="M53" s="237"/>
      <c r="N53" s="229" t="s">
        <v>501</v>
      </c>
      <c r="O53" s="230">
        <v>0</v>
      </c>
      <c r="P53" s="230">
        <v>0</v>
      </c>
      <c r="Q53" s="230">
        <v>0</v>
      </c>
      <c r="R53" s="230">
        <v>0</v>
      </c>
      <c r="S53" s="231">
        <f>NETWORKDAYS.INTL(DATE(2018,1,1),DATE(2018,12,31),1,{"2018/1/1";"2018/3/30";"2018/4/2";"2018/5/1";"2018/5/8";"2018/7/5";"2018/7/6";"2018/09/28";"2018/11/17";"2018/12/24";"2018/12/25";"2018/12/26"})</f>
        <v>250</v>
      </c>
      <c r="T53" s="231">
        <f t="shared" si="0"/>
        <v>115</v>
      </c>
      <c r="U53" s="231">
        <f t="shared" si="1"/>
        <v>365</v>
      </c>
      <c r="V53" s="312">
        <f t="shared" si="2"/>
        <v>0</v>
      </c>
      <c r="W53" s="233">
        <f t="shared" si="3"/>
        <v>0</v>
      </c>
      <c r="X53" s="234">
        <f t="shared" si="4"/>
        <v>0</v>
      </c>
      <c r="Y53" s="234">
        <f t="shared" si="4"/>
        <v>0</v>
      </c>
    </row>
    <row r="54" spans="1:25" ht="15" x14ac:dyDescent="0.2">
      <c r="A54" s="276" t="s">
        <v>714</v>
      </c>
      <c r="B54" s="23" t="s">
        <v>334</v>
      </c>
      <c r="C54" s="23" t="s">
        <v>139</v>
      </c>
      <c r="D54" s="139" t="str">
        <f>VLOOKUP(C54,'Seznam HS - nemaš'!$A$1:$B$96,2,FALSE)</f>
        <v>401404</v>
      </c>
      <c r="E54" s="22" t="s">
        <v>722</v>
      </c>
      <c r="F54" s="30" t="s">
        <v>612</v>
      </c>
      <c r="G54" s="30"/>
      <c r="H54" s="28">
        <f>+IF(ISBLANK(I54),0,VLOOKUP(I54,'8Příloha_2_ceník_pravid_úklid'!$B$9:$C$30,2,0))</f>
        <v>2</v>
      </c>
      <c r="I54" s="143" t="s">
        <v>2</v>
      </c>
      <c r="J54" s="145">
        <v>21.27</v>
      </c>
      <c r="K54" s="275" t="s">
        <v>51</v>
      </c>
      <c r="L54" s="156" t="s">
        <v>65</v>
      </c>
      <c r="M54" s="22" t="s">
        <v>49</v>
      </c>
      <c r="N54" s="24">
        <f>IF((VLOOKUP(I54,'8Příloha_2_ceník_pravid_úklid'!$B$9:$I$30,8,0))=0,VLOOKUP(I54,'8Příloha_2_ceník_pravid_úklid'!$B$9:$K$30,10,0),VLOOKUP(I54,'8Příloha_2_ceník_pravid_úklid'!$B$9:$I$30,8,0))</f>
        <v>0</v>
      </c>
      <c r="O54" s="20">
        <v>2</v>
      </c>
      <c r="P54" s="20">
        <v>1</v>
      </c>
      <c r="Q54" s="20">
        <v>0</v>
      </c>
      <c r="R54" s="20">
        <v>0</v>
      </c>
      <c r="S54" s="21">
        <f>NETWORKDAYS.INTL(DATE(2018,1,1),DATE(2018,12,31),1,{"2018/1/1";"2018/3/30";"2018/4/2";"2018/5/1";"2018/5/8";"2018/7/5";"2018/7/6";"2018/09/28";"2018/11/17";"2018/12/24";"2018/12/25";"2018/12/26"})</f>
        <v>250</v>
      </c>
      <c r="T54" s="21">
        <f t="shared" si="0"/>
        <v>115</v>
      </c>
      <c r="U54" s="21">
        <f t="shared" si="1"/>
        <v>365</v>
      </c>
      <c r="V54" s="311">
        <f t="shared" si="2"/>
        <v>500</v>
      </c>
      <c r="W54" s="140">
        <f t="shared" si="3"/>
        <v>0</v>
      </c>
      <c r="X54" s="141">
        <f t="shared" si="4"/>
        <v>0</v>
      </c>
      <c r="Y54" s="141">
        <v>0</v>
      </c>
    </row>
    <row r="55" spans="1:25" ht="15" x14ac:dyDescent="0.2">
      <c r="A55" s="276" t="s">
        <v>714</v>
      </c>
      <c r="B55" s="23" t="s">
        <v>334</v>
      </c>
      <c r="C55" s="23" t="s">
        <v>139</v>
      </c>
      <c r="D55" s="139" t="str">
        <f>VLOOKUP(C55,'Seznam HS - nemaš'!$A$1:$B$96,2,FALSE)</f>
        <v>401404</v>
      </c>
      <c r="E55" s="22" t="s">
        <v>723</v>
      </c>
      <c r="F55" s="30" t="s">
        <v>724</v>
      </c>
      <c r="G55" s="30"/>
      <c r="H55" s="28">
        <f>+IF(ISBLANK(I55),0,VLOOKUP(I55,'8Příloha_2_ceník_pravid_úklid'!$B$9:$C$30,2,0))</f>
        <v>7</v>
      </c>
      <c r="I55" s="143" t="s">
        <v>14</v>
      </c>
      <c r="J55" s="145">
        <v>4.58</v>
      </c>
      <c r="K55" s="275" t="s">
        <v>50</v>
      </c>
      <c r="L55" s="156" t="s">
        <v>21</v>
      </c>
      <c r="M55" s="22" t="s">
        <v>49</v>
      </c>
      <c r="N55" s="24">
        <f>IF((VLOOKUP(I55,'8Příloha_2_ceník_pravid_úklid'!$B$9:$I$30,8,0))=0,VLOOKUP(I55,'8Příloha_2_ceník_pravid_úklid'!$B$9:$K$30,10,0),VLOOKUP(I55,'8Příloha_2_ceník_pravid_úklid'!$B$9:$I$30,8,0))</f>
        <v>0</v>
      </c>
      <c r="O55" s="20">
        <v>1</v>
      </c>
      <c r="P55" s="20">
        <v>1</v>
      </c>
      <c r="Q55" s="20">
        <v>0</v>
      </c>
      <c r="R55" s="20">
        <v>0</v>
      </c>
      <c r="S55" s="21">
        <f>NETWORKDAYS.INTL(DATE(2018,1,1),DATE(2018,12,31),1,{"2018/1/1";"2018/3/30";"2018/4/2";"2018/5/1";"2018/5/8";"2018/7/5";"2018/7/6";"2018/09/28";"2018/11/17";"2018/12/24";"2018/12/25";"2018/12/26"})</f>
        <v>250</v>
      </c>
      <c r="T55" s="21">
        <f t="shared" si="0"/>
        <v>115</v>
      </c>
      <c r="U55" s="21">
        <f t="shared" si="1"/>
        <v>365</v>
      </c>
      <c r="V55" s="311">
        <f t="shared" si="2"/>
        <v>250</v>
      </c>
      <c r="W55" s="140">
        <f t="shared" si="3"/>
        <v>0</v>
      </c>
      <c r="X55" s="141">
        <f t="shared" si="4"/>
        <v>0</v>
      </c>
      <c r="Y55" s="141">
        <v>0</v>
      </c>
    </row>
    <row r="56" spans="1:25" ht="15" x14ac:dyDescent="0.2">
      <c r="A56" s="276" t="s">
        <v>714</v>
      </c>
      <c r="B56" s="23" t="s">
        <v>334</v>
      </c>
      <c r="C56" s="23" t="s">
        <v>139</v>
      </c>
      <c r="D56" s="139" t="str">
        <f>VLOOKUP(C56,'Seznam HS - nemaš'!$A$1:$B$96,2,FALSE)</f>
        <v>401404</v>
      </c>
      <c r="E56" s="22" t="s">
        <v>725</v>
      </c>
      <c r="F56" s="30" t="s">
        <v>726</v>
      </c>
      <c r="G56" s="30"/>
      <c r="H56" s="28">
        <f>+IF(ISBLANK(I56),0,VLOOKUP(I56,'8Příloha_2_ceník_pravid_úklid'!$B$9:$C$30,2,0))</f>
        <v>2</v>
      </c>
      <c r="I56" s="143" t="s">
        <v>2</v>
      </c>
      <c r="J56" s="145">
        <v>13.69</v>
      </c>
      <c r="K56" s="275" t="s">
        <v>51</v>
      </c>
      <c r="L56" s="156" t="s">
        <v>21</v>
      </c>
      <c r="M56" s="22" t="s">
        <v>49</v>
      </c>
      <c r="N56" s="24">
        <f>IF((VLOOKUP(I56,'8Příloha_2_ceník_pravid_úklid'!$B$9:$I$30,8,0))=0,VLOOKUP(I56,'8Příloha_2_ceník_pravid_úklid'!$B$9:$K$30,10,0),VLOOKUP(I56,'8Příloha_2_ceník_pravid_úklid'!$B$9:$I$30,8,0))</f>
        <v>0</v>
      </c>
      <c r="O56" s="20">
        <v>1</v>
      </c>
      <c r="P56" s="20">
        <v>1</v>
      </c>
      <c r="Q56" s="20">
        <v>0</v>
      </c>
      <c r="R56" s="20">
        <v>0</v>
      </c>
      <c r="S56" s="21">
        <f>NETWORKDAYS.INTL(DATE(2018,1,1),DATE(2018,12,31),1,{"2018/1/1";"2018/3/30";"2018/4/2";"2018/5/1";"2018/5/8";"2018/7/5";"2018/7/6";"2018/09/28";"2018/11/17";"2018/12/24";"2018/12/25";"2018/12/26"})</f>
        <v>250</v>
      </c>
      <c r="T56" s="21">
        <f t="shared" si="0"/>
        <v>115</v>
      </c>
      <c r="U56" s="21">
        <f t="shared" si="1"/>
        <v>365</v>
      </c>
      <c r="V56" s="311">
        <f t="shared" si="2"/>
        <v>250</v>
      </c>
      <c r="W56" s="140">
        <f t="shared" si="3"/>
        <v>0</v>
      </c>
      <c r="X56" s="141">
        <f t="shared" si="4"/>
        <v>0</v>
      </c>
      <c r="Y56" s="141">
        <v>0</v>
      </c>
    </row>
    <row r="57" spans="1:25" ht="15" x14ac:dyDescent="0.2">
      <c r="A57" s="276" t="s">
        <v>714</v>
      </c>
      <c r="B57" s="23" t="s">
        <v>334</v>
      </c>
      <c r="C57" s="23" t="s">
        <v>139</v>
      </c>
      <c r="D57" s="139" t="str">
        <f>VLOOKUP(C57,'Seznam HS - nemaš'!$A$1:$B$96,2,FALSE)</f>
        <v>401404</v>
      </c>
      <c r="E57" s="22" t="s">
        <v>727</v>
      </c>
      <c r="F57" s="30" t="s">
        <v>608</v>
      </c>
      <c r="G57" s="30" t="s">
        <v>728</v>
      </c>
      <c r="H57" s="28">
        <f>+IF(ISBLANK(I57),0,VLOOKUP(I57,'8Příloha_2_ceník_pravid_úklid'!$B$9:$C$30,2,0))</f>
        <v>4</v>
      </c>
      <c r="I57" s="143" t="s">
        <v>9</v>
      </c>
      <c r="J57" s="145">
        <v>14.3</v>
      </c>
      <c r="K57" s="275" t="s">
        <v>51</v>
      </c>
      <c r="L57" s="156" t="s">
        <v>21</v>
      </c>
      <c r="M57" s="22" t="s">
        <v>49</v>
      </c>
      <c r="N57" s="24">
        <f>IF((VLOOKUP(I57,'8Příloha_2_ceník_pravid_úklid'!$B$9:$I$30,8,0))=0,VLOOKUP(I57,'8Příloha_2_ceník_pravid_úklid'!$B$9:$K$30,10,0),VLOOKUP(I57,'8Příloha_2_ceník_pravid_úklid'!$B$9:$I$30,8,0))</f>
        <v>0</v>
      </c>
      <c r="O57" s="20">
        <v>1</v>
      </c>
      <c r="P57" s="20">
        <v>1</v>
      </c>
      <c r="Q57" s="20">
        <v>0</v>
      </c>
      <c r="R57" s="20">
        <v>0</v>
      </c>
      <c r="S57" s="21">
        <f>NETWORKDAYS.INTL(DATE(2018,1,1),DATE(2018,12,31),1,{"2018/1/1";"2018/3/30";"2018/4/2";"2018/5/1";"2018/5/8";"2018/7/5";"2018/7/6";"2018/09/28";"2018/11/17";"2018/12/24";"2018/12/25";"2018/12/26"})</f>
        <v>250</v>
      </c>
      <c r="T57" s="21">
        <f t="shared" si="0"/>
        <v>115</v>
      </c>
      <c r="U57" s="21">
        <f t="shared" si="1"/>
        <v>365</v>
      </c>
      <c r="V57" s="311">
        <f t="shared" si="2"/>
        <v>250</v>
      </c>
      <c r="W57" s="140">
        <f t="shared" si="3"/>
        <v>0</v>
      </c>
      <c r="X57" s="141">
        <f t="shared" si="4"/>
        <v>0</v>
      </c>
      <c r="Y57" s="141">
        <v>0</v>
      </c>
    </row>
    <row r="58" spans="1:25" ht="15" x14ac:dyDescent="0.2">
      <c r="A58" s="276" t="s">
        <v>714</v>
      </c>
      <c r="B58" s="23" t="s">
        <v>334</v>
      </c>
      <c r="C58" s="23" t="s">
        <v>139</v>
      </c>
      <c r="D58" s="139" t="str">
        <f>VLOOKUP(C58,'Seznam HS - nemaš'!$A$1:$B$96,2,FALSE)</f>
        <v>401404</v>
      </c>
      <c r="E58" s="22" t="s">
        <v>729</v>
      </c>
      <c r="F58" s="30" t="s">
        <v>53</v>
      </c>
      <c r="G58" s="30"/>
      <c r="H58" s="28">
        <f>+IF(ISBLANK(I58),0,VLOOKUP(I58,'8Příloha_2_ceník_pravid_úklid'!$B$9:$C$30,2,0))</f>
        <v>6</v>
      </c>
      <c r="I58" s="143" t="s">
        <v>1</v>
      </c>
      <c r="J58" s="145">
        <v>19.7</v>
      </c>
      <c r="K58" s="275" t="s">
        <v>51</v>
      </c>
      <c r="L58" s="156" t="s">
        <v>21</v>
      </c>
      <c r="M58" s="22" t="s">
        <v>49</v>
      </c>
      <c r="N58" s="24">
        <f>IF((VLOOKUP(I58,'8Příloha_2_ceník_pravid_úklid'!$B$9:$I$30,8,0))=0,VLOOKUP(I58,'8Příloha_2_ceník_pravid_úklid'!$B$9:$K$30,10,0),VLOOKUP(I58,'8Příloha_2_ceník_pravid_úklid'!$B$9:$I$30,8,0))</f>
        <v>0</v>
      </c>
      <c r="O58" s="20">
        <v>1</v>
      </c>
      <c r="P58" s="20">
        <v>1</v>
      </c>
      <c r="Q58" s="20">
        <v>0</v>
      </c>
      <c r="R58" s="20">
        <v>0</v>
      </c>
      <c r="S58" s="21">
        <f>NETWORKDAYS.INTL(DATE(2018,1,1),DATE(2018,12,31),1,{"2018/1/1";"2018/3/30";"2018/4/2";"2018/5/1";"2018/5/8";"2018/7/5";"2018/7/6";"2018/09/28";"2018/11/17";"2018/12/24";"2018/12/25";"2018/12/26"})</f>
        <v>250</v>
      </c>
      <c r="T58" s="21">
        <f t="shared" si="0"/>
        <v>115</v>
      </c>
      <c r="U58" s="21">
        <f t="shared" si="1"/>
        <v>365</v>
      </c>
      <c r="V58" s="311">
        <f t="shared" si="2"/>
        <v>250</v>
      </c>
      <c r="W58" s="140">
        <f t="shared" si="3"/>
        <v>0</v>
      </c>
      <c r="X58" s="141">
        <f t="shared" si="4"/>
        <v>0</v>
      </c>
      <c r="Y58" s="141">
        <v>0</v>
      </c>
    </row>
    <row r="59" spans="1:25" ht="15" x14ac:dyDescent="0.2">
      <c r="A59" s="276" t="s">
        <v>714</v>
      </c>
      <c r="B59" s="23" t="s">
        <v>334</v>
      </c>
      <c r="C59" s="23" t="s">
        <v>139</v>
      </c>
      <c r="D59" s="139" t="str">
        <f>VLOOKUP(C59,'Seznam HS - nemaš'!$A$1:$B$96,2,FALSE)</f>
        <v>401404</v>
      </c>
      <c r="E59" s="22" t="s">
        <v>730</v>
      </c>
      <c r="F59" s="30" t="s">
        <v>463</v>
      </c>
      <c r="G59" s="30"/>
      <c r="H59" s="28">
        <f>+IF(ISBLANK(I59),0,VLOOKUP(I59,'8Příloha_2_ceník_pravid_úklid'!$B$9:$C$30,2,0))</f>
        <v>17</v>
      </c>
      <c r="I59" s="143" t="s">
        <v>13</v>
      </c>
      <c r="J59" s="145">
        <v>14.61</v>
      </c>
      <c r="K59" s="275" t="s">
        <v>51</v>
      </c>
      <c r="L59" s="156" t="s">
        <v>637</v>
      </c>
      <c r="M59" s="22" t="s">
        <v>49</v>
      </c>
      <c r="N59" s="24">
        <f>IF((VLOOKUP(I59,'8Příloha_2_ceník_pravid_úklid'!$B$9:$I$30,8,0))=0,VLOOKUP(I59,'8Příloha_2_ceník_pravid_úklid'!$B$9:$K$30,10,0),VLOOKUP(I59,'8Příloha_2_ceník_pravid_úklid'!$B$9:$I$30,8,0))</f>
        <v>0</v>
      </c>
      <c r="O59" s="20">
        <v>1</v>
      </c>
      <c r="P59" s="20">
        <f>2/5</f>
        <v>0.4</v>
      </c>
      <c r="Q59" s="20">
        <v>0</v>
      </c>
      <c r="R59" s="20">
        <v>0</v>
      </c>
      <c r="S59" s="21">
        <f>NETWORKDAYS.INTL(DATE(2018,1,1),DATE(2018,12,31),1,{"2018/1/1";"2018/3/30";"2018/4/2";"2018/5/1";"2018/5/8";"2018/7/5";"2018/7/6";"2018/09/28";"2018/11/17";"2018/12/24";"2018/12/25";"2018/12/26"})</f>
        <v>250</v>
      </c>
      <c r="T59" s="21">
        <f t="shared" si="0"/>
        <v>115</v>
      </c>
      <c r="U59" s="21">
        <f t="shared" si="1"/>
        <v>365</v>
      </c>
      <c r="V59" s="311">
        <f t="shared" si="2"/>
        <v>100</v>
      </c>
      <c r="W59" s="140">
        <f t="shared" si="3"/>
        <v>0</v>
      </c>
      <c r="X59" s="141">
        <f t="shared" si="4"/>
        <v>0</v>
      </c>
      <c r="Y59" s="141">
        <v>0</v>
      </c>
    </row>
    <row r="60" spans="1:25" ht="15" x14ac:dyDescent="0.2">
      <c r="A60" s="235" t="s">
        <v>714</v>
      </c>
      <c r="B60" s="236" t="s">
        <v>334</v>
      </c>
      <c r="C60" s="236" t="s">
        <v>139</v>
      </c>
      <c r="D60" s="535" t="str">
        <f>VLOOKUP(C60,'Seznam HS - nemaš'!$A$1:$B$96,2,FALSE)</f>
        <v>401404</v>
      </c>
      <c r="E60" s="237" t="s">
        <v>731</v>
      </c>
      <c r="F60" s="303" t="s">
        <v>554</v>
      </c>
      <c r="G60" s="303"/>
      <c r="H60" s="28">
        <f>+IF(ISBLANK(I60),0,VLOOKUP(I60,'8Příloha_2_ceník_pravid_úklid'!$B$9:$C$30,2,0))</f>
        <v>0</v>
      </c>
      <c r="I60" s="273"/>
      <c r="J60" s="241">
        <v>2.0499999999999998</v>
      </c>
      <c r="K60" s="240" t="s">
        <v>50</v>
      </c>
      <c r="L60" s="310" t="s">
        <v>66</v>
      </c>
      <c r="M60" s="237" t="s">
        <v>49</v>
      </c>
      <c r="N60" s="229" t="s">
        <v>501</v>
      </c>
      <c r="O60" s="230">
        <v>0</v>
      </c>
      <c r="P60" s="230">
        <v>0</v>
      </c>
      <c r="Q60" s="230">
        <v>0</v>
      </c>
      <c r="R60" s="230">
        <v>0</v>
      </c>
      <c r="S60" s="231">
        <f>NETWORKDAYS.INTL(DATE(2018,1,1),DATE(2018,12,31),1,{"2018/1/1";"2018/3/30";"2018/4/2";"2018/5/1";"2018/5/8";"2018/7/5";"2018/7/6";"2018/09/28";"2018/11/17";"2018/12/24";"2018/12/25";"2018/12/26"})</f>
        <v>250</v>
      </c>
      <c r="T60" s="231">
        <f t="shared" si="0"/>
        <v>115</v>
      </c>
      <c r="U60" s="231">
        <f t="shared" si="1"/>
        <v>365</v>
      </c>
      <c r="V60" s="312">
        <f t="shared" si="2"/>
        <v>0</v>
      </c>
      <c r="W60" s="233">
        <f t="shared" si="3"/>
        <v>0</v>
      </c>
      <c r="X60" s="234">
        <f t="shared" si="4"/>
        <v>0</v>
      </c>
      <c r="Y60" s="234">
        <f t="shared" si="4"/>
        <v>0</v>
      </c>
    </row>
    <row r="61" spans="1:25" ht="15" x14ac:dyDescent="0.2">
      <c r="A61" s="276" t="s">
        <v>714</v>
      </c>
      <c r="B61" s="23" t="s">
        <v>334</v>
      </c>
      <c r="C61" s="23" t="s">
        <v>139</v>
      </c>
      <c r="D61" s="139" t="str">
        <f>VLOOKUP(C61,'Seznam HS - nemaš'!$A$1:$B$96,2,FALSE)</f>
        <v>401404</v>
      </c>
      <c r="E61" s="22" t="s">
        <v>732</v>
      </c>
      <c r="F61" s="30" t="s">
        <v>420</v>
      </c>
      <c r="G61" s="30"/>
      <c r="H61" s="28">
        <f>+IF(ISBLANK(I61),0,VLOOKUP(I61,'8Příloha_2_ceník_pravid_úklid'!$B$9:$C$30,2,0))</f>
        <v>6</v>
      </c>
      <c r="I61" s="143" t="s">
        <v>1</v>
      </c>
      <c r="J61" s="145">
        <v>3.87</v>
      </c>
      <c r="K61" s="275" t="s">
        <v>50</v>
      </c>
      <c r="L61" s="156" t="s">
        <v>21</v>
      </c>
      <c r="M61" s="22" t="s">
        <v>49</v>
      </c>
      <c r="N61" s="24">
        <f>IF((VLOOKUP(I61,'8Příloha_2_ceník_pravid_úklid'!$B$9:$I$30,8,0))=0,VLOOKUP(I61,'8Příloha_2_ceník_pravid_úklid'!$B$9:$K$30,10,0),VLOOKUP(I61,'8Příloha_2_ceník_pravid_úklid'!$B$9:$I$30,8,0))</f>
        <v>0</v>
      </c>
      <c r="O61" s="20">
        <v>1</v>
      </c>
      <c r="P61" s="20">
        <v>1</v>
      </c>
      <c r="Q61" s="20">
        <v>0</v>
      </c>
      <c r="R61" s="20">
        <v>0</v>
      </c>
      <c r="S61" s="21">
        <f>NETWORKDAYS.INTL(DATE(2018,1,1),DATE(2018,12,31),1,{"2018/1/1";"2018/3/30";"2018/4/2";"2018/5/1";"2018/5/8";"2018/7/5";"2018/7/6";"2018/09/28";"2018/11/17";"2018/12/24";"2018/12/25";"2018/12/26"})</f>
        <v>250</v>
      </c>
      <c r="T61" s="21">
        <f t="shared" si="0"/>
        <v>115</v>
      </c>
      <c r="U61" s="21">
        <f t="shared" si="1"/>
        <v>365</v>
      </c>
      <c r="V61" s="311">
        <f t="shared" si="2"/>
        <v>250</v>
      </c>
      <c r="W61" s="140">
        <f t="shared" si="3"/>
        <v>0</v>
      </c>
      <c r="X61" s="141">
        <f t="shared" si="4"/>
        <v>0</v>
      </c>
      <c r="Y61" s="141">
        <v>0</v>
      </c>
    </row>
    <row r="62" spans="1:25" ht="15" x14ac:dyDescent="0.2">
      <c r="A62" s="276" t="s">
        <v>714</v>
      </c>
      <c r="B62" s="23" t="s">
        <v>334</v>
      </c>
      <c r="C62" s="23" t="s">
        <v>139</v>
      </c>
      <c r="D62" s="139" t="str">
        <f>VLOOKUP(C62,'Seznam HS - nemaš'!$A$1:$B$96,2,FALSE)</f>
        <v>401404</v>
      </c>
      <c r="E62" s="22" t="s">
        <v>733</v>
      </c>
      <c r="F62" s="30" t="s">
        <v>734</v>
      </c>
      <c r="G62" s="30"/>
      <c r="H62" s="28">
        <f>+IF(ISBLANK(I62),0,VLOOKUP(I62,'8Příloha_2_ceník_pravid_úklid'!$B$9:$C$30,2,0))</f>
        <v>7</v>
      </c>
      <c r="I62" s="143" t="s">
        <v>14</v>
      </c>
      <c r="J62" s="145">
        <v>2.0299999999999998</v>
      </c>
      <c r="K62" s="275" t="s">
        <v>50</v>
      </c>
      <c r="L62" s="156" t="s">
        <v>21</v>
      </c>
      <c r="M62" s="22" t="s">
        <v>49</v>
      </c>
      <c r="N62" s="24">
        <f>IF((VLOOKUP(I62,'8Příloha_2_ceník_pravid_úklid'!$B$9:$I$30,8,0))=0,VLOOKUP(I62,'8Příloha_2_ceník_pravid_úklid'!$B$9:$K$30,10,0),VLOOKUP(I62,'8Příloha_2_ceník_pravid_úklid'!$B$9:$I$30,8,0))</f>
        <v>0</v>
      </c>
      <c r="O62" s="20">
        <v>1</v>
      </c>
      <c r="P62" s="20">
        <v>1</v>
      </c>
      <c r="Q62" s="20">
        <v>0</v>
      </c>
      <c r="R62" s="20">
        <v>0</v>
      </c>
      <c r="S62" s="21">
        <f>NETWORKDAYS.INTL(DATE(2018,1,1),DATE(2018,12,31),1,{"2018/1/1";"2018/3/30";"2018/4/2";"2018/5/1";"2018/5/8";"2018/7/5";"2018/7/6";"2018/09/28";"2018/11/17";"2018/12/24";"2018/12/25";"2018/12/26"})</f>
        <v>250</v>
      </c>
      <c r="T62" s="21">
        <f t="shared" si="0"/>
        <v>115</v>
      </c>
      <c r="U62" s="21">
        <f t="shared" si="1"/>
        <v>365</v>
      </c>
      <c r="V62" s="311">
        <f t="shared" si="2"/>
        <v>250</v>
      </c>
      <c r="W62" s="140">
        <f t="shared" si="3"/>
        <v>0</v>
      </c>
      <c r="X62" s="141">
        <f t="shared" si="4"/>
        <v>0</v>
      </c>
      <c r="Y62" s="141">
        <v>0</v>
      </c>
    </row>
    <row r="63" spans="1:25" ht="15" x14ac:dyDescent="0.2">
      <c r="A63" s="276" t="s">
        <v>714</v>
      </c>
      <c r="B63" s="23" t="s">
        <v>334</v>
      </c>
      <c r="C63" s="23" t="s">
        <v>139</v>
      </c>
      <c r="D63" s="139" t="str">
        <f>VLOOKUP(C63,'Seznam HS - nemaš'!$A$1:$B$96,2,FALSE)</f>
        <v>401404</v>
      </c>
      <c r="E63" s="22" t="s">
        <v>735</v>
      </c>
      <c r="F63" s="30" t="s">
        <v>437</v>
      </c>
      <c r="G63" s="30"/>
      <c r="H63" s="28">
        <f>+IF(ISBLANK(I63),0,VLOOKUP(I63,'8Příloha_2_ceník_pravid_úklid'!$B$9:$C$30,2,0))</f>
        <v>7</v>
      </c>
      <c r="I63" s="143" t="s">
        <v>14</v>
      </c>
      <c r="J63" s="145">
        <v>1.08</v>
      </c>
      <c r="K63" s="275" t="s">
        <v>50</v>
      </c>
      <c r="L63" s="156" t="s">
        <v>21</v>
      </c>
      <c r="M63" s="22" t="s">
        <v>49</v>
      </c>
      <c r="N63" s="24">
        <f>IF((VLOOKUP(I63,'8Příloha_2_ceník_pravid_úklid'!$B$9:$I$30,8,0))=0,VLOOKUP(I63,'8Příloha_2_ceník_pravid_úklid'!$B$9:$K$30,10,0),VLOOKUP(I63,'8Příloha_2_ceník_pravid_úklid'!$B$9:$I$30,8,0))</f>
        <v>0</v>
      </c>
      <c r="O63" s="20">
        <v>1</v>
      </c>
      <c r="P63" s="20">
        <v>1</v>
      </c>
      <c r="Q63" s="20">
        <v>0</v>
      </c>
      <c r="R63" s="20">
        <v>0</v>
      </c>
      <c r="S63" s="21">
        <f>NETWORKDAYS.INTL(DATE(2018,1,1),DATE(2018,12,31),1,{"2018/1/1";"2018/3/30";"2018/4/2";"2018/5/1";"2018/5/8";"2018/7/5";"2018/7/6";"2018/09/28";"2018/11/17";"2018/12/24";"2018/12/25";"2018/12/26"})</f>
        <v>250</v>
      </c>
      <c r="T63" s="21">
        <f t="shared" si="0"/>
        <v>115</v>
      </c>
      <c r="U63" s="21">
        <f t="shared" si="1"/>
        <v>365</v>
      </c>
      <c r="V63" s="311">
        <f t="shared" si="2"/>
        <v>250</v>
      </c>
      <c r="W63" s="140">
        <f t="shared" si="3"/>
        <v>0</v>
      </c>
      <c r="X63" s="141">
        <f t="shared" si="4"/>
        <v>0</v>
      </c>
      <c r="Y63" s="141">
        <v>0</v>
      </c>
    </row>
    <row r="64" spans="1:25" ht="15" x14ac:dyDescent="0.2">
      <c r="A64" s="276" t="s">
        <v>714</v>
      </c>
      <c r="B64" s="23" t="s">
        <v>334</v>
      </c>
      <c r="C64" s="23" t="s">
        <v>139</v>
      </c>
      <c r="D64" s="139" t="str">
        <f>VLOOKUP(C64,'Seznam HS - nemaš'!$A$1:$B$96,2,FALSE)</f>
        <v>401404</v>
      </c>
      <c r="E64" s="22" t="s">
        <v>736</v>
      </c>
      <c r="F64" s="30" t="s">
        <v>420</v>
      </c>
      <c r="G64" s="30"/>
      <c r="H64" s="28">
        <f>+IF(ISBLANK(I64),0,VLOOKUP(I64,'8Příloha_2_ceník_pravid_úklid'!$B$9:$C$30,2,0))</f>
        <v>6</v>
      </c>
      <c r="I64" s="143" t="s">
        <v>1</v>
      </c>
      <c r="J64" s="145">
        <v>3.25</v>
      </c>
      <c r="K64" s="275" t="s">
        <v>50</v>
      </c>
      <c r="L64" s="156" t="s">
        <v>21</v>
      </c>
      <c r="M64" s="22" t="s">
        <v>49</v>
      </c>
      <c r="N64" s="24">
        <f>IF((VLOOKUP(I64,'8Příloha_2_ceník_pravid_úklid'!$B$9:$I$30,8,0))=0,VLOOKUP(I64,'8Příloha_2_ceník_pravid_úklid'!$B$9:$K$30,10,0),VLOOKUP(I64,'8Příloha_2_ceník_pravid_úklid'!$B$9:$I$30,8,0))</f>
        <v>0</v>
      </c>
      <c r="O64" s="20">
        <v>1</v>
      </c>
      <c r="P64" s="20">
        <v>1</v>
      </c>
      <c r="Q64" s="20">
        <v>0</v>
      </c>
      <c r="R64" s="20">
        <v>0</v>
      </c>
      <c r="S64" s="21">
        <f>NETWORKDAYS.INTL(DATE(2018,1,1),DATE(2018,12,31),1,{"2018/1/1";"2018/3/30";"2018/4/2";"2018/5/1";"2018/5/8";"2018/7/5";"2018/7/6";"2018/09/28";"2018/11/17";"2018/12/24";"2018/12/25";"2018/12/26"})</f>
        <v>250</v>
      </c>
      <c r="T64" s="21">
        <f t="shared" si="0"/>
        <v>115</v>
      </c>
      <c r="U64" s="21">
        <f t="shared" si="1"/>
        <v>365</v>
      </c>
      <c r="V64" s="311">
        <f t="shared" si="2"/>
        <v>250</v>
      </c>
      <c r="W64" s="140">
        <f t="shared" si="3"/>
        <v>0</v>
      </c>
      <c r="X64" s="141">
        <f t="shared" si="4"/>
        <v>0</v>
      </c>
      <c r="Y64" s="141">
        <v>0</v>
      </c>
    </row>
    <row r="65" spans="1:25" ht="15" x14ac:dyDescent="0.2">
      <c r="A65" s="276" t="s">
        <v>714</v>
      </c>
      <c r="B65" s="23" t="s">
        <v>334</v>
      </c>
      <c r="C65" s="23" t="s">
        <v>139</v>
      </c>
      <c r="D65" s="139" t="str">
        <f>VLOOKUP(C65,'Seznam HS - nemaš'!$A$1:$B$96,2,FALSE)</f>
        <v>401404</v>
      </c>
      <c r="E65" s="22" t="s">
        <v>737</v>
      </c>
      <c r="F65" s="30" t="s">
        <v>437</v>
      </c>
      <c r="G65" s="30"/>
      <c r="H65" s="28">
        <f>+IF(ISBLANK(I65),0,VLOOKUP(I65,'8Příloha_2_ceník_pravid_úklid'!$B$9:$C$30,2,0))</f>
        <v>7</v>
      </c>
      <c r="I65" s="143" t="s">
        <v>14</v>
      </c>
      <c r="J65" s="145">
        <v>1.08</v>
      </c>
      <c r="K65" s="275" t="s">
        <v>50</v>
      </c>
      <c r="L65" s="156" t="s">
        <v>21</v>
      </c>
      <c r="M65" s="22" t="s">
        <v>49</v>
      </c>
      <c r="N65" s="24">
        <f>IF((VLOOKUP(I65,'8Příloha_2_ceník_pravid_úklid'!$B$9:$I$30,8,0))=0,VLOOKUP(I65,'8Příloha_2_ceník_pravid_úklid'!$B$9:$K$30,10,0),VLOOKUP(I65,'8Příloha_2_ceník_pravid_úklid'!$B$9:$I$30,8,0))</f>
        <v>0</v>
      </c>
      <c r="O65" s="20">
        <v>1</v>
      </c>
      <c r="P65" s="20">
        <v>1</v>
      </c>
      <c r="Q65" s="20">
        <v>0</v>
      </c>
      <c r="R65" s="20">
        <v>0</v>
      </c>
      <c r="S65" s="21">
        <f>NETWORKDAYS.INTL(DATE(2018,1,1),DATE(2018,12,31),1,{"2018/1/1";"2018/3/30";"2018/4/2";"2018/5/1";"2018/5/8";"2018/7/5";"2018/7/6";"2018/09/28";"2018/11/17";"2018/12/24";"2018/12/25";"2018/12/26"})</f>
        <v>250</v>
      </c>
      <c r="T65" s="21">
        <f t="shared" si="0"/>
        <v>115</v>
      </c>
      <c r="U65" s="21">
        <f t="shared" si="1"/>
        <v>365</v>
      </c>
      <c r="V65" s="311">
        <f t="shared" si="2"/>
        <v>250</v>
      </c>
      <c r="W65" s="140">
        <f t="shared" si="3"/>
        <v>0</v>
      </c>
      <c r="X65" s="141">
        <f t="shared" si="4"/>
        <v>0</v>
      </c>
      <c r="Y65" s="141">
        <v>0</v>
      </c>
    </row>
    <row r="66" spans="1:25" ht="15" x14ac:dyDescent="0.2">
      <c r="A66" s="276" t="s">
        <v>714</v>
      </c>
      <c r="B66" s="23" t="s">
        <v>334</v>
      </c>
      <c r="C66" s="23" t="s">
        <v>139</v>
      </c>
      <c r="D66" s="139" t="str">
        <f>VLOOKUP(C66,'Seznam HS - nemaš'!$A$1:$B$96,2,FALSE)</f>
        <v>401404</v>
      </c>
      <c r="E66" s="22" t="s">
        <v>738</v>
      </c>
      <c r="F66" s="30" t="s">
        <v>437</v>
      </c>
      <c r="G66" s="30"/>
      <c r="H66" s="28">
        <f>+IF(ISBLANK(I66),0,VLOOKUP(I66,'8Příloha_2_ceník_pravid_úklid'!$B$9:$C$30,2,0))</f>
        <v>7</v>
      </c>
      <c r="I66" s="143" t="s">
        <v>14</v>
      </c>
      <c r="J66" s="145">
        <v>1.08</v>
      </c>
      <c r="K66" s="275" t="s">
        <v>50</v>
      </c>
      <c r="L66" s="156" t="s">
        <v>21</v>
      </c>
      <c r="M66" s="22" t="s">
        <v>49</v>
      </c>
      <c r="N66" s="24">
        <f>IF((VLOOKUP(I66,'8Příloha_2_ceník_pravid_úklid'!$B$9:$I$30,8,0))=0,VLOOKUP(I66,'8Příloha_2_ceník_pravid_úklid'!$B$9:$K$30,10,0),VLOOKUP(I66,'8Příloha_2_ceník_pravid_úklid'!$B$9:$I$30,8,0))</f>
        <v>0</v>
      </c>
      <c r="O66" s="20">
        <v>1</v>
      </c>
      <c r="P66" s="20">
        <v>1</v>
      </c>
      <c r="Q66" s="20">
        <v>0</v>
      </c>
      <c r="R66" s="20">
        <v>0</v>
      </c>
      <c r="S66" s="21">
        <f>NETWORKDAYS.INTL(DATE(2018,1,1),DATE(2018,12,31),1,{"2018/1/1";"2018/3/30";"2018/4/2";"2018/5/1";"2018/5/8";"2018/7/5";"2018/7/6";"2018/09/28";"2018/11/17";"2018/12/24";"2018/12/25";"2018/12/26"})</f>
        <v>250</v>
      </c>
      <c r="T66" s="21">
        <f t="shared" si="0"/>
        <v>115</v>
      </c>
      <c r="U66" s="21">
        <f t="shared" si="1"/>
        <v>365</v>
      </c>
      <c r="V66" s="311">
        <f t="shared" si="2"/>
        <v>250</v>
      </c>
      <c r="W66" s="140">
        <f t="shared" si="3"/>
        <v>0</v>
      </c>
      <c r="X66" s="141">
        <f t="shared" si="4"/>
        <v>0</v>
      </c>
      <c r="Y66" s="141">
        <v>0</v>
      </c>
    </row>
    <row r="67" spans="1:25" ht="15" x14ac:dyDescent="0.2">
      <c r="A67" s="276" t="s">
        <v>714</v>
      </c>
      <c r="B67" s="23" t="s">
        <v>334</v>
      </c>
      <c r="C67" s="23" t="s">
        <v>139</v>
      </c>
      <c r="D67" s="139" t="str">
        <f>VLOOKUP(C67,'Seznam HS - nemaš'!$A$1:$B$96,2,FALSE)</f>
        <v>401404</v>
      </c>
      <c r="E67" s="22" t="s">
        <v>739</v>
      </c>
      <c r="F67" s="30" t="s">
        <v>420</v>
      </c>
      <c r="G67" s="30"/>
      <c r="H67" s="28">
        <f>+IF(ISBLANK(I67),0,VLOOKUP(I67,'8Příloha_2_ceník_pravid_úklid'!$B$9:$C$30,2,0))</f>
        <v>6</v>
      </c>
      <c r="I67" s="143" t="s">
        <v>1</v>
      </c>
      <c r="J67" s="145">
        <v>3.25</v>
      </c>
      <c r="K67" s="275" t="s">
        <v>50</v>
      </c>
      <c r="L67" s="156" t="s">
        <v>21</v>
      </c>
      <c r="M67" s="22" t="s">
        <v>49</v>
      </c>
      <c r="N67" s="24">
        <f>IF((VLOOKUP(I67,'8Příloha_2_ceník_pravid_úklid'!$B$9:$I$30,8,0))=0,VLOOKUP(I67,'8Příloha_2_ceník_pravid_úklid'!$B$9:$K$30,10,0),VLOOKUP(I67,'8Příloha_2_ceník_pravid_úklid'!$B$9:$I$30,8,0))</f>
        <v>0</v>
      </c>
      <c r="O67" s="20">
        <v>1</v>
      </c>
      <c r="P67" s="20">
        <v>1</v>
      </c>
      <c r="Q67" s="20">
        <v>0</v>
      </c>
      <c r="R67" s="20">
        <v>0</v>
      </c>
      <c r="S67" s="21">
        <f>NETWORKDAYS.INTL(DATE(2018,1,1),DATE(2018,12,31),1,{"2018/1/1";"2018/3/30";"2018/4/2";"2018/5/1";"2018/5/8";"2018/7/5";"2018/7/6";"2018/09/28";"2018/11/17";"2018/12/24";"2018/12/25";"2018/12/26"})</f>
        <v>250</v>
      </c>
      <c r="T67" s="21">
        <f t="shared" si="0"/>
        <v>115</v>
      </c>
      <c r="U67" s="21">
        <f t="shared" si="1"/>
        <v>365</v>
      </c>
      <c r="V67" s="311">
        <f t="shared" si="2"/>
        <v>250</v>
      </c>
      <c r="W67" s="140">
        <f t="shared" si="3"/>
        <v>0</v>
      </c>
      <c r="X67" s="141">
        <f t="shared" si="4"/>
        <v>0</v>
      </c>
      <c r="Y67" s="141">
        <v>0</v>
      </c>
    </row>
    <row r="68" spans="1:25" ht="15" x14ac:dyDescent="0.2">
      <c r="A68" s="276" t="s">
        <v>714</v>
      </c>
      <c r="B68" s="23" t="s">
        <v>334</v>
      </c>
      <c r="C68" s="23" t="s">
        <v>139</v>
      </c>
      <c r="D68" s="139" t="str">
        <f>VLOOKUP(C68,'Seznam HS - nemaš'!$A$1:$B$96,2,FALSE)</f>
        <v>401404</v>
      </c>
      <c r="E68" s="22" t="s">
        <v>740</v>
      </c>
      <c r="F68" s="30" t="s">
        <v>437</v>
      </c>
      <c r="G68" s="30"/>
      <c r="H68" s="28">
        <f>+IF(ISBLANK(I68),0,VLOOKUP(I68,'8Příloha_2_ceník_pravid_úklid'!$B$9:$C$30,2,0))</f>
        <v>7</v>
      </c>
      <c r="I68" s="143" t="s">
        <v>14</v>
      </c>
      <c r="J68" s="145">
        <v>1.92</v>
      </c>
      <c r="K68" s="275" t="s">
        <v>50</v>
      </c>
      <c r="L68" s="156" t="s">
        <v>21</v>
      </c>
      <c r="M68" s="22" t="s">
        <v>49</v>
      </c>
      <c r="N68" s="24">
        <f>IF((VLOOKUP(I68,'8Příloha_2_ceník_pravid_úklid'!$B$9:$I$30,8,0))=0,VLOOKUP(I68,'8Příloha_2_ceník_pravid_úklid'!$B$9:$K$30,10,0),VLOOKUP(I68,'8Příloha_2_ceník_pravid_úklid'!$B$9:$I$30,8,0))</f>
        <v>0</v>
      </c>
      <c r="O68" s="20">
        <v>1</v>
      </c>
      <c r="P68" s="20">
        <v>1</v>
      </c>
      <c r="Q68" s="20">
        <v>0</v>
      </c>
      <c r="R68" s="20">
        <v>0</v>
      </c>
      <c r="S68" s="21">
        <f>NETWORKDAYS.INTL(DATE(2018,1,1),DATE(2018,12,31),1,{"2018/1/1";"2018/3/30";"2018/4/2";"2018/5/1";"2018/5/8";"2018/7/5";"2018/7/6";"2018/09/28";"2018/11/17";"2018/12/24";"2018/12/25";"2018/12/26"})</f>
        <v>250</v>
      </c>
      <c r="T68" s="21">
        <f t="shared" si="0"/>
        <v>115</v>
      </c>
      <c r="U68" s="21">
        <f t="shared" si="1"/>
        <v>365</v>
      </c>
      <c r="V68" s="311">
        <f t="shared" si="2"/>
        <v>250</v>
      </c>
      <c r="W68" s="140">
        <f t="shared" si="3"/>
        <v>0</v>
      </c>
      <c r="X68" s="141">
        <f t="shared" si="4"/>
        <v>0</v>
      </c>
      <c r="Y68" s="141">
        <v>0</v>
      </c>
    </row>
    <row r="69" spans="1:25" ht="15" x14ac:dyDescent="0.2">
      <c r="A69" s="276" t="s">
        <v>714</v>
      </c>
      <c r="B69" s="23" t="s">
        <v>334</v>
      </c>
      <c r="C69" s="23" t="s">
        <v>139</v>
      </c>
      <c r="D69" s="139" t="str">
        <f>VLOOKUP(C69,'Seznam HS - nemaš'!$A$1:$B$96,2,FALSE)</f>
        <v>401404</v>
      </c>
      <c r="E69" s="22" t="s">
        <v>741</v>
      </c>
      <c r="F69" s="30" t="s">
        <v>383</v>
      </c>
      <c r="G69" s="30"/>
      <c r="H69" s="28">
        <f>+IF(ISBLANK(I69),0,VLOOKUP(I69,'8Příloha_2_ceník_pravid_úklid'!$B$9:$C$30,2,0))</f>
        <v>6</v>
      </c>
      <c r="I69" s="143" t="s">
        <v>1</v>
      </c>
      <c r="J69" s="145">
        <v>44.38</v>
      </c>
      <c r="K69" s="275" t="s">
        <v>51</v>
      </c>
      <c r="L69" s="156" t="s">
        <v>21</v>
      </c>
      <c r="M69" s="22" t="s">
        <v>49</v>
      </c>
      <c r="N69" s="24">
        <f>IF((VLOOKUP(I69,'8Příloha_2_ceník_pravid_úklid'!$B$9:$I$30,8,0))=0,VLOOKUP(I69,'8Příloha_2_ceník_pravid_úklid'!$B$9:$K$30,10,0),VLOOKUP(I69,'8Příloha_2_ceník_pravid_úklid'!$B$9:$I$30,8,0))</f>
        <v>0</v>
      </c>
      <c r="O69" s="20">
        <v>1</v>
      </c>
      <c r="P69" s="20">
        <v>1</v>
      </c>
      <c r="Q69" s="20">
        <v>0</v>
      </c>
      <c r="R69" s="20">
        <v>0</v>
      </c>
      <c r="S69" s="21">
        <f>NETWORKDAYS.INTL(DATE(2018,1,1),DATE(2018,12,31),1,{"2018/1/1";"2018/3/30";"2018/4/2";"2018/5/1";"2018/5/8";"2018/7/5";"2018/7/6";"2018/09/28";"2018/11/17";"2018/12/24";"2018/12/25";"2018/12/26"})</f>
        <v>250</v>
      </c>
      <c r="T69" s="21">
        <f t="shared" si="0"/>
        <v>115</v>
      </c>
      <c r="U69" s="21">
        <f t="shared" si="1"/>
        <v>365</v>
      </c>
      <c r="V69" s="311">
        <f t="shared" si="2"/>
        <v>250</v>
      </c>
      <c r="W69" s="140">
        <f t="shared" si="3"/>
        <v>0</v>
      </c>
      <c r="X69" s="141">
        <f t="shared" si="4"/>
        <v>0</v>
      </c>
      <c r="Y69" s="141">
        <v>0</v>
      </c>
    </row>
    <row r="70" spans="1:25" ht="15" x14ac:dyDescent="0.2">
      <c r="A70" s="339" t="s">
        <v>714</v>
      </c>
      <c r="B70" s="340" t="s">
        <v>334</v>
      </c>
      <c r="C70" s="340" t="s">
        <v>139</v>
      </c>
      <c r="D70" s="535" t="str">
        <f>VLOOKUP(C70,'Seznam HS - nemaš'!$A$1:$B$96,2,FALSE)</f>
        <v>401404</v>
      </c>
      <c r="E70" s="575" t="s">
        <v>1748</v>
      </c>
      <c r="F70" s="341"/>
      <c r="G70" s="341"/>
      <c r="H70" s="224"/>
      <c r="I70" s="342"/>
      <c r="J70" s="343"/>
      <c r="K70" s="344"/>
      <c r="L70" s="345"/>
      <c r="M70" s="346"/>
      <c r="N70" s="347" t="s">
        <v>501</v>
      </c>
      <c r="O70" s="348">
        <v>0</v>
      </c>
      <c r="P70" s="348">
        <v>0</v>
      </c>
      <c r="Q70" s="348">
        <v>0</v>
      </c>
      <c r="R70" s="348">
        <v>0</v>
      </c>
      <c r="S70" s="349">
        <f>NETWORKDAYS.INTL(DATE(2018,1,1),DATE(2018,12,31),1,{"2018/1/1";"2018/3/30";"2018/4/2";"2018/5/1";"2018/5/8";"2018/7/5";"2018/7/6";"2018/09/28";"2018/11/17";"2018/12/24";"2018/12/25";"2018/12/26"})</f>
        <v>250</v>
      </c>
      <c r="T70" s="349">
        <f t="shared" ref="T70:T133" si="5">U70-S70</f>
        <v>115</v>
      </c>
      <c r="U70" s="349">
        <f t="shared" ref="U70:U133" si="6">_xlfn.DAYS("1.1.2019","1.1.2018")</f>
        <v>365</v>
      </c>
      <c r="V70" s="350">
        <f t="shared" ref="V70:V133" si="7">ROUND(O70*P70*S70+Q70*R70*T70,2)</f>
        <v>0</v>
      </c>
      <c r="W70" s="351">
        <f t="shared" ref="W70:W133" si="8">ROUND(IF(N70="neoceňuje se",+J70*0*V70,J70*N70*V70),2)</f>
        <v>0</v>
      </c>
      <c r="X70" s="352">
        <f t="shared" ref="X70:Y133" si="9">ROUND(W70*1.21,2)</f>
        <v>0</v>
      </c>
      <c r="Y70" s="352">
        <f t="shared" si="9"/>
        <v>0</v>
      </c>
    </row>
    <row r="71" spans="1:25" ht="15" x14ac:dyDescent="0.2">
      <c r="A71" s="276" t="s">
        <v>697</v>
      </c>
      <c r="B71" s="23" t="s">
        <v>334</v>
      </c>
      <c r="C71" s="23" t="s">
        <v>171</v>
      </c>
      <c r="D71" s="139" t="str">
        <f>VLOOKUP(C71,'Seznam HS - nemaš'!$A$1:$B$96,2,FALSE)</f>
        <v>411400</v>
      </c>
      <c r="E71" s="22" t="s">
        <v>742</v>
      </c>
      <c r="F71" s="30" t="s">
        <v>383</v>
      </c>
      <c r="G71" s="30"/>
      <c r="H71" s="28">
        <f>+IF(ISBLANK(I71),0,VLOOKUP(I71,'8Příloha_2_ceník_pravid_úklid'!$B$9:$C$30,2,0))</f>
        <v>6</v>
      </c>
      <c r="I71" s="143" t="s">
        <v>1</v>
      </c>
      <c r="J71" s="145">
        <v>28.54</v>
      </c>
      <c r="K71" s="275" t="s">
        <v>51</v>
      </c>
      <c r="L71" s="156" t="s">
        <v>21</v>
      </c>
      <c r="M71" s="22" t="s">
        <v>49</v>
      </c>
      <c r="N71" s="24">
        <f>IF((VLOOKUP(I71,'8Příloha_2_ceník_pravid_úklid'!$B$9:$I$30,8,0))=0,VLOOKUP(I71,'8Příloha_2_ceník_pravid_úklid'!$B$9:$K$30,10,0),VLOOKUP(I71,'8Příloha_2_ceník_pravid_úklid'!$B$9:$I$30,8,0))</f>
        <v>0</v>
      </c>
      <c r="O71" s="20">
        <v>1</v>
      </c>
      <c r="P71" s="20">
        <v>1</v>
      </c>
      <c r="Q71" s="20">
        <v>0</v>
      </c>
      <c r="R71" s="20">
        <v>0</v>
      </c>
      <c r="S71" s="21">
        <f>NETWORKDAYS.INTL(DATE(2018,1,1),DATE(2018,12,31),1,{"2018/1/1";"2018/3/30";"2018/4/2";"2018/5/1";"2018/5/8";"2018/7/5";"2018/7/6";"2018/09/28";"2018/11/17";"2018/12/24";"2018/12/25";"2018/12/26"})</f>
        <v>250</v>
      </c>
      <c r="T71" s="21">
        <f t="shared" si="5"/>
        <v>115</v>
      </c>
      <c r="U71" s="21">
        <f t="shared" si="6"/>
        <v>365</v>
      </c>
      <c r="V71" s="311">
        <f t="shared" si="7"/>
        <v>250</v>
      </c>
      <c r="W71" s="140">
        <f t="shared" si="8"/>
        <v>0</v>
      </c>
      <c r="X71" s="141">
        <f t="shared" si="9"/>
        <v>0</v>
      </c>
      <c r="Y71" s="141">
        <v>0</v>
      </c>
    </row>
    <row r="72" spans="1:25" ht="15" x14ac:dyDescent="0.2">
      <c r="A72" s="276" t="s">
        <v>697</v>
      </c>
      <c r="B72" s="23" t="s">
        <v>334</v>
      </c>
      <c r="C72" s="23" t="s">
        <v>171</v>
      </c>
      <c r="D72" s="139" t="str">
        <f>VLOOKUP(C72,'Seznam HS - nemaš'!$A$1:$B$96,2,FALSE)</f>
        <v>411400</v>
      </c>
      <c r="E72" s="22" t="s">
        <v>743</v>
      </c>
      <c r="F72" s="30" t="s">
        <v>53</v>
      </c>
      <c r="G72" s="30"/>
      <c r="H72" s="28">
        <f>+IF(ISBLANK(I72),0,VLOOKUP(I72,'8Příloha_2_ceník_pravid_úklid'!$B$9:$C$30,2,0))</f>
        <v>6</v>
      </c>
      <c r="I72" s="143" t="s">
        <v>1</v>
      </c>
      <c r="J72" s="145">
        <v>11.53</v>
      </c>
      <c r="K72" s="275" t="s">
        <v>51</v>
      </c>
      <c r="L72" s="156" t="s">
        <v>21</v>
      </c>
      <c r="M72" s="22" t="s">
        <v>49</v>
      </c>
      <c r="N72" s="24">
        <f>IF((VLOOKUP(I72,'8Příloha_2_ceník_pravid_úklid'!$B$9:$I$30,8,0))=0,VLOOKUP(I72,'8Příloha_2_ceník_pravid_úklid'!$B$9:$K$30,10,0),VLOOKUP(I72,'8Příloha_2_ceník_pravid_úklid'!$B$9:$I$30,8,0))</f>
        <v>0</v>
      </c>
      <c r="O72" s="20">
        <v>1</v>
      </c>
      <c r="P72" s="20">
        <v>1</v>
      </c>
      <c r="Q72" s="20">
        <v>0</v>
      </c>
      <c r="R72" s="20">
        <v>0</v>
      </c>
      <c r="S72" s="21">
        <f>NETWORKDAYS.INTL(DATE(2018,1,1),DATE(2018,12,31),1,{"2018/1/1";"2018/3/30";"2018/4/2";"2018/5/1";"2018/5/8";"2018/7/5";"2018/7/6";"2018/09/28";"2018/11/17";"2018/12/24";"2018/12/25";"2018/12/26"})</f>
        <v>250</v>
      </c>
      <c r="T72" s="21">
        <f t="shared" si="5"/>
        <v>115</v>
      </c>
      <c r="U72" s="21">
        <f t="shared" si="6"/>
        <v>365</v>
      </c>
      <c r="V72" s="311">
        <f t="shared" si="7"/>
        <v>250</v>
      </c>
      <c r="W72" s="140">
        <f t="shared" si="8"/>
        <v>0</v>
      </c>
      <c r="X72" s="141">
        <f t="shared" si="9"/>
        <v>0</v>
      </c>
      <c r="Y72" s="141">
        <v>0</v>
      </c>
    </row>
    <row r="73" spans="1:25" ht="15" x14ac:dyDescent="0.2">
      <c r="A73" s="276" t="s">
        <v>697</v>
      </c>
      <c r="B73" s="23" t="s">
        <v>334</v>
      </c>
      <c r="C73" s="23" t="s">
        <v>171</v>
      </c>
      <c r="D73" s="139" t="str">
        <f>VLOOKUP(C73,'Seznam HS - nemaš'!$A$1:$B$96,2,FALSE)</f>
        <v>411400</v>
      </c>
      <c r="E73" s="22" t="s">
        <v>744</v>
      </c>
      <c r="F73" s="30" t="s">
        <v>437</v>
      </c>
      <c r="G73" s="30" t="s">
        <v>555</v>
      </c>
      <c r="H73" s="28">
        <f>+IF(ISBLANK(I73),0,VLOOKUP(I73,'8Příloha_2_ceník_pravid_úklid'!$B$9:$C$30,2,0))</f>
        <v>7</v>
      </c>
      <c r="I73" s="143" t="s">
        <v>14</v>
      </c>
      <c r="J73" s="145">
        <v>2.6</v>
      </c>
      <c r="K73" s="275" t="s">
        <v>50</v>
      </c>
      <c r="L73" s="156" t="s">
        <v>21</v>
      </c>
      <c r="M73" s="22" t="s">
        <v>49</v>
      </c>
      <c r="N73" s="24">
        <f>IF((VLOOKUP(I73,'8Příloha_2_ceník_pravid_úklid'!$B$9:$I$30,8,0))=0,VLOOKUP(I73,'8Příloha_2_ceník_pravid_úklid'!$B$9:$K$30,10,0),VLOOKUP(I73,'8Příloha_2_ceník_pravid_úklid'!$B$9:$I$30,8,0))</f>
        <v>0</v>
      </c>
      <c r="O73" s="20">
        <v>1</v>
      </c>
      <c r="P73" s="20">
        <v>1</v>
      </c>
      <c r="Q73" s="20">
        <v>0</v>
      </c>
      <c r="R73" s="20">
        <v>0</v>
      </c>
      <c r="S73" s="21">
        <f>NETWORKDAYS.INTL(DATE(2018,1,1),DATE(2018,12,31),1,{"2018/1/1";"2018/3/30";"2018/4/2";"2018/5/1";"2018/5/8";"2018/7/5";"2018/7/6";"2018/09/28";"2018/11/17";"2018/12/24";"2018/12/25";"2018/12/26"})</f>
        <v>250</v>
      </c>
      <c r="T73" s="21">
        <f t="shared" si="5"/>
        <v>115</v>
      </c>
      <c r="U73" s="21">
        <f t="shared" si="6"/>
        <v>365</v>
      </c>
      <c r="V73" s="311">
        <f t="shared" si="7"/>
        <v>250</v>
      </c>
      <c r="W73" s="140">
        <f t="shared" si="8"/>
        <v>0</v>
      </c>
      <c r="X73" s="141">
        <f t="shared" si="9"/>
        <v>0</v>
      </c>
      <c r="Y73" s="141">
        <v>0</v>
      </c>
    </row>
    <row r="74" spans="1:25" ht="15" x14ac:dyDescent="0.2">
      <c r="A74" s="276" t="s">
        <v>697</v>
      </c>
      <c r="B74" s="23" t="s">
        <v>334</v>
      </c>
      <c r="C74" s="23" t="s">
        <v>171</v>
      </c>
      <c r="D74" s="139" t="str">
        <f>VLOOKUP(C74,'Seznam HS - nemaš'!$A$1:$B$96,2,FALSE)</f>
        <v>411400</v>
      </c>
      <c r="E74" s="22" t="s">
        <v>745</v>
      </c>
      <c r="F74" s="30" t="s">
        <v>437</v>
      </c>
      <c r="G74" s="30" t="s">
        <v>555</v>
      </c>
      <c r="H74" s="28">
        <f>+IF(ISBLANK(I74),0,VLOOKUP(I74,'8Příloha_2_ceník_pravid_úklid'!$B$9:$C$30,2,0))</f>
        <v>7</v>
      </c>
      <c r="I74" s="143" t="s">
        <v>14</v>
      </c>
      <c r="J74" s="145">
        <v>2.6</v>
      </c>
      <c r="K74" s="275" t="s">
        <v>50</v>
      </c>
      <c r="L74" s="156" t="s">
        <v>21</v>
      </c>
      <c r="M74" s="22" t="s">
        <v>49</v>
      </c>
      <c r="N74" s="24">
        <f>IF((VLOOKUP(I74,'8Příloha_2_ceník_pravid_úklid'!$B$9:$I$30,8,0))=0,VLOOKUP(I74,'8Příloha_2_ceník_pravid_úklid'!$B$9:$K$30,10,0),VLOOKUP(I74,'8Příloha_2_ceník_pravid_úklid'!$B$9:$I$30,8,0))</f>
        <v>0</v>
      </c>
      <c r="O74" s="20">
        <v>1</v>
      </c>
      <c r="P74" s="20">
        <v>1</v>
      </c>
      <c r="Q74" s="20">
        <v>0</v>
      </c>
      <c r="R74" s="20">
        <v>0</v>
      </c>
      <c r="S74" s="21">
        <f>NETWORKDAYS.INTL(DATE(2018,1,1),DATE(2018,12,31),1,{"2018/1/1";"2018/3/30";"2018/4/2";"2018/5/1";"2018/5/8";"2018/7/5";"2018/7/6";"2018/09/28";"2018/11/17";"2018/12/24";"2018/12/25";"2018/12/26"})</f>
        <v>250</v>
      </c>
      <c r="T74" s="21">
        <f t="shared" si="5"/>
        <v>115</v>
      </c>
      <c r="U74" s="21">
        <f t="shared" si="6"/>
        <v>365</v>
      </c>
      <c r="V74" s="311">
        <f t="shared" si="7"/>
        <v>250</v>
      </c>
      <c r="W74" s="140">
        <f t="shared" si="8"/>
        <v>0</v>
      </c>
      <c r="X74" s="141">
        <f t="shared" si="9"/>
        <v>0</v>
      </c>
      <c r="Y74" s="141">
        <v>0</v>
      </c>
    </row>
    <row r="75" spans="1:25" ht="15" x14ac:dyDescent="0.2">
      <c r="A75" s="276" t="s">
        <v>697</v>
      </c>
      <c r="B75" s="23" t="s">
        <v>334</v>
      </c>
      <c r="C75" s="23" t="s">
        <v>173</v>
      </c>
      <c r="D75" s="139" t="str">
        <f>VLOOKUP(C75,'Seznam HS - nemaš'!$A$1:$B$96,2,FALSE)</f>
        <v>411401</v>
      </c>
      <c r="E75" s="22" t="s">
        <v>746</v>
      </c>
      <c r="F75" s="30" t="s">
        <v>724</v>
      </c>
      <c r="G75" s="30" t="s">
        <v>747</v>
      </c>
      <c r="H75" s="28">
        <f>+IF(ISBLANK(I75),0,VLOOKUP(I75,'8Příloha_2_ceník_pravid_úklid'!$B$9:$C$30,2,0))</f>
        <v>7</v>
      </c>
      <c r="I75" s="143" t="s">
        <v>14</v>
      </c>
      <c r="J75" s="145">
        <v>4.93</v>
      </c>
      <c r="K75" s="275" t="s">
        <v>50</v>
      </c>
      <c r="L75" s="156" t="s">
        <v>21</v>
      </c>
      <c r="M75" s="22" t="s">
        <v>49</v>
      </c>
      <c r="N75" s="24">
        <f>IF((VLOOKUP(I75,'8Příloha_2_ceník_pravid_úklid'!$B$9:$I$30,8,0))=0,VLOOKUP(I75,'8Příloha_2_ceník_pravid_úklid'!$B$9:$K$30,10,0),VLOOKUP(I75,'8Příloha_2_ceník_pravid_úklid'!$B$9:$I$30,8,0))</f>
        <v>0</v>
      </c>
      <c r="O75" s="20">
        <v>1</v>
      </c>
      <c r="P75" s="20">
        <v>1</v>
      </c>
      <c r="Q75" s="20">
        <v>0</v>
      </c>
      <c r="R75" s="20">
        <v>0</v>
      </c>
      <c r="S75" s="21">
        <f>NETWORKDAYS.INTL(DATE(2018,1,1),DATE(2018,12,31),1,{"2018/1/1";"2018/3/30";"2018/4/2";"2018/5/1";"2018/5/8";"2018/7/5";"2018/7/6";"2018/09/28";"2018/11/17";"2018/12/24";"2018/12/25";"2018/12/26"})</f>
        <v>250</v>
      </c>
      <c r="T75" s="21">
        <f t="shared" si="5"/>
        <v>115</v>
      </c>
      <c r="U75" s="21">
        <f t="shared" si="6"/>
        <v>365</v>
      </c>
      <c r="V75" s="311">
        <f t="shared" si="7"/>
        <v>250</v>
      </c>
      <c r="W75" s="140">
        <f t="shared" si="8"/>
        <v>0</v>
      </c>
      <c r="X75" s="141">
        <f t="shared" si="9"/>
        <v>0</v>
      </c>
      <c r="Y75" s="141">
        <v>0</v>
      </c>
    </row>
    <row r="76" spans="1:25" ht="15" x14ac:dyDescent="0.2">
      <c r="A76" s="276" t="s">
        <v>697</v>
      </c>
      <c r="B76" s="23" t="s">
        <v>334</v>
      </c>
      <c r="C76" s="23" t="s">
        <v>173</v>
      </c>
      <c r="D76" s="139" t="str">
        <f>VLOOKUP(C76,'Seznam HS - nemaš'!$A$1:$B$96,2,FALSE)</f>
        <v>411401</v>
      </c>
      <c r="E76" s="22" t="s">
        <v>748</v>
      </c>
      <c r="F76" s="30" t="s">
        <v>492</v>
      </c>
      <c r="G76" s="30"/>
      <c r="H76" s="28">
        <f>+IF(ISBLANK(I76),0,VLOOKUP(I76,'8Příloha_2_ceník_pravid_úklid'!$B$9:$C$30,2,0))</f>
        <v>4</v>
      </c>
      <c r="I76" s="143" t="s">
        <v>9</v>
      </c>
      <c r="J76" s="145">
        <v>6.18</v>
      </c>
      <c r="K76" s="275" t="s">
        <v>51</v>
      </c>
      <c r="L76" s="156" t="s">
        <v>21</v>
      </c>
      <c r="M76" s="22" t="s">
        <v>49</v>
      </c>
      <c r="N76" s="24">
        <f>IF((VLOOKUP(I76,'8Příloha_2_ceník_pravid_úklid'!$B$9:$I$30,8,0))=0,VLOOKUP(I76,'8Příloha_2_ceník_pravid_úklid'!$B$9:$K$30,10,0),VLOOKUP(I76,'8Příloha_2_ceník_pravid_úklid'!$B$9:$I$30,8,0))</f>
        <v>0</v>
      </c>
      <c r="O76" s="20">
        <v>1</v>
      </c>
      <c r="P76" s="20">
        <v>1</v>
      </c>
      <c r="Q76" s="20">
        <v>0</v>
      </c>
      <c r="R76" s="20">
        <v>0</v>
      </c>
      <c r="S76" s="21">
        <f>NETWORKDAYS.INTL(DATE(2018,1,1),DATE(2018,12,31),1,{"2018/1/1";"2018/3/30";"2018/4/2";"2018/5/1";"2018/5/8";"2018/7/5";"2018/7/6";"2018/09/28";"2018/11/17";"2018/12/24";"2018/12/25";"2018/12/26"})</f>
        <v>250</v>
      </c>
      <c r="T76" s="21">
        <f t="shared" si="5"/>
        <v>115</v>
      </c>
      <c r="U76" s="21">
        <f t="shared" si="6"/>
        <v>365</v>
      </c>
      <c r="V76" s="311">
        <f t="shared" si="7"/>
        <v>250</v>
      </c>
      <c r="W76" s="140">
        <f t="shared" si="8"/>
        <v>0</v>
      </c>
      <c r="X76" s="141">
        <f t="shared" si="9"/>
        <v>0</v>
      </c>
      <c r="Y76" s="141">
        <v>0</v>
      </c>
    </row>
    <row r="77" spans="1:25" ht="15" x14ac:dyDescent="0.2">
      <c r="A77" s="235" t="s">
        <v>697</v>
      </c>
      <c r="B77" s="236" t="s">
        <v>334</v>
      </c>
      <c r="C77" s="236" t="s">
        <v>171</v>
      </c>
      <c r="D77" s="535" t="str">
        <f>VLOOKUP(C77,'Seznam HS - nemaš'!$A$1:$B$96,2,FALSE)</f>
        <v>411400</v>
      </c>
      <c r="E77" s="237" t="s">
        <v>749</v>
      </c>
      <c r="F77" s="303" t="s">
        <v>554</v>
      </c>
      <c r="G77" s="303"/>
      <c r="H77" s="224">
        <f>+IF(ISBLANK(I77),0,VLOOKUP(I77,'8Příloha_2_ceník_pravid_úklid'!$B$9:$C$30,2,0))</f>
        <v>0</v>
      </c>
      <c r="I77" s="273"/>
      <c r="J77" s="241">
        <v>1.1499999999999999</v>
      </c>
      <c r="K77" s="240" t="s">
        <v>50</v>
      </c>
      <c r="L77" s="310" t="s">
        <v>66</v>
      </c>
      <c r="M77" s="237" t="s">
        <v>49</v>
      </c>
      <c r="N77" s="229" t="s">
        <v>501</v>
      </c>
      <c r="O77" s="230">
        <v>0</v>
      </c>
      <c r="P77" s="230">
        <v>0</v>
      </c>
      <c r="Q77" s="230">
        <v>0</v>
      </c>
      <c r="R77" s="230">
        <v>0</v>
      </c>
      <c r="S77" s="231">
        <f>NETWORKDAYS.INTL(DATE(2018,1,1),DATE(2018,12,31),1,{"2018/1/1";"2018/3/30";"2018/4/2";"2018/5/1";"2018/5/8";"2018/7/5";"2018/7/6";"2018/09/28";"2018/11/17";"2018/12/24";"2018/12/25";"2018/12/26"})</f>
        <v>250</v>
      </c>
      <c r="T77" s="231">
        <f t="shared" si="5"/>
        <v>115</v>
      </c>
      <c r="U77" s="231">
        <f t="shared" si="6"/>
        <v>365</v>
      </c>
      <c r="V77" s="312">
        <f t="shared" si="7"/>
        <v>0</v>
      </c>
      <c r="W77" s="233">
        <f t="shared" si="8"/>
        <v>0</v>
      </c>
      <c r="X77" s="234">
        <f t="shared" si="9"/>
        <v>0</v>
      </c>
      <c r="Y77" s="234">
        <f t="shared" si="9"/>
        <v>0</v>
      </c>
    </row>
    <row r="78" spans="1:25" ht="15" x14ac:dyDescent="0.2">
      <c r="A78" s="276" t="s">
        <v>697</v>
      </c>
      <c r="B78" s="23" t="s">
        <v>334</v>
      </c>
      <c r="C78" s="23" t="s">
        <v>171</v>
      </c>
      <c r="D78" s="139" t="str">
        <f>VLOOKUP(C78,'Seznam HS - nemaš'!$A$1:$B$96,2,FALSE)</f>
        <v>411400</v>
      </c>
      <c r="E78" s="22" t="s">
        <v>750</v>
      </c>
      <c r="F78" s="30" t="s">
        <v>710</v>
      </c>
      <c r="G78" s="30"/>
      <c r="H78" s="28">
        <f>+IF(ISBLANK(I78),0,VLOOKUP(I78,'8Příloha_2_ceník_pravid_úklid'!$B$9:$C$30,2,0))</f>
        <v>4</v>
      </c>
      <c r="I78" s="143" t="s">
        <v>9</v>
      </c>
      <c r="J78" s="145">
        <v>13.04</v>
      </c>
      <c r="K78" s="275" t="s">
        <v>51</v>
      </c>
      <c r="L78" s="156" t="s">
        <v>21</v>
      </c>
      <c r="M78" s="22" t="s">
        <v>49</v>
      </c>
      <c r="N78" s="24">
        <f>IF((VLOOKUP(I78,'8Příloha_2_ceník_pravid_úklid'!$B$9:$I$30,8,0))=0,VLOOKUP(I78,'8Příloha_2_ceník_pravid_úklid'!$B$9:$K$30,10,0),VLOOKUP(I78,'8Příloha_2_ceník_pravid_úklid'!$B$9:$I$30,8,0))</f>
        <v>0</v>
      </c>
      <c r="O78" s="20">
        <v>1</v>
      </c>
      <c r="P78" s="20">
        <v>1</v>
      </c>
      <c r="Q78" s="20">
        <v>0</v>
      </c>
      <c r="R78" s="20">
        <v>0</v>
      </c>
      <c r="S78" s="21">
        <f>NETWORKDAYS.INTL(DATE(2018,1,1),DATE(2018,12,31),1,{"2018/1/1";"2018/3/30";"2018/4/2";"2018/5/1";"2018/5/8";"2018/7/5";"2018/7/6";"2018/09/28";"2018/11/17";"2018/12/24";"2018/12/25";"2018/12/26"})</f>
        <v>250</v>
      </c>
      <c r="T78" s="21">
        <f t="shared" si="5"/>
        <v>115</v>
      </c>
      <c r="U78" s="21">
        <f t="shared" si="6"/>
        <v>365</v>
      </c>
      <c r="V78" s="311">
        <f t="shared" si="7"/>
        <v>250</v>
      </c>
      <c r="W78" s="140">
        <f t="shared" si="8"/>
        <v>0</v>
      </c>
      <c r="X78" s="141">
        <f t="shared" si="9"/>
        <v>0</v>
      </c>
      <c r="Y78" s="141">
        <v>0</v>
      </c>
    </row>
    <row r="79" spans="1:25" ht="15" x14ac:dyDescent="0.2">
      <c r="A79" s="276" t="s">
        <v>697</v>
      </c>
      <c r="B79" s="23" t="s">
        <v>334</v>
      </c>
      <c r="C79" s="23" t="s">
        <v>171</v>
      </c>
      <c r="D79" s="139" t="str">
        <f>VLOOKUP(C79,'Seznam HS - nemaš'!$A$1:$B$96,2,FALSE)</f>
        <v>411400</v>
      </c>
      <c r="E79" s="22" t="s">
        <v>751</v>
      </c>
      <c r="F79" s="30" t="s">
        <v>710</v>
      </c>
      <c r="G79" s="30"/>
      <c r="H79" s="28">
        <f>+IF(ISBLANK(I79),0,VLOOKUP(I79,'8Příloha_2_ceník_pravid_úklid'!$B$9:$C$30,2,0))</f>
        <v>4</v>
      </c>
      <c r="I79" s="143" t="s">
        <v>9</v>
      </c>
      <c r="J79" s="145">
        <v>15.04</v>
      </c>
      <c r="K79" s="275" t="s">
        <v>51</v>
      </c>
      <c r="L79" s="156" t="s">
        <v>21</v>
      </c>
      <c r="M79" s="22" t="s">
        <v>49</v>
      </c>
      <c r="N79" s="24">
        <f>IF((VLOOKUP(I79,'8Příloha_2_ceník_pravid_úklid'!$B$9:$I$30,8,0))=0,VLOOKUP(I79,'8Příloha_2_ceník_pravid_úklid'!$B$9:$K$30,10,0),VLOOKUP(I79,'8Příloha_2_ceník_pravid_úklid'!$B$9:$I$30,8,0))</f>
        <v>0</v>
      </c>
      <c r="O79" s="20">
        <v>1</v>
      </c>
      <c r="P79" s="20">
        <v>1</v>
      </c>
      <c r="Q79" s="20">
        <v>0</v>
      </c>
      <c r="R79" s="20">
        <v>0</v>
      </c>
      <c r="S79" s="21">
        <f>NETWORKDAYS.INTL(DATE(2018,1,1),DATE(2018,12,31),1,{"2018/1/1";"2018/3/30";"2018/4/2";"2018/5/1";"2018/5/8";"2018/7/5";"2018/7/6";"2018/09/28";"2018/11/17";"2018/12/24";"2018/12/25";"2018/12/26"})</f>
        <v>250</v>
      </c>
      <c r="T79" s="21">
        <f t="shared" si="5"/>
        <v>115</v>
      </c>
      <c r="U79" s="21">
        <f t="shared" si="6"/>
        <v>365</v>
      </c>
      <c r="V79" s="311">
        <f t="shared" si="7"/>
        <v>250</v>
      </c>
      <c r="W79" s="140">
        <f t="shared" si="8"/>
        <v>0</v>
      </c>
      <c r="X79" s="141">
        <f t="shared" si="9"/>
        <v>0</v>
      </c>
      <c r="Y79" s="141">
        <v>0</v>
      </c>
    </row>
    <row r="80" spans="1:25" ht="15" x14ac:dyDescent="0.2">
      <c r="A80" s="276" t="s">
        <v>697</v>
      </c>
      <c r="B80" s="23" t="s">
        <v>334</v>
      </c>
      <c r="C80" s="23" t="s">
        <v>171</v>
      </c>
      <c r="D80" s="139" t="str">
        <f>VLOOKUP(C80,'Seznam HS - nemaš'!$A$1:$B$96,2,FALSE)</f>
        <v>411400</v>
      </c>
      <c r="E80" s="22" t="s">
        <v>752</v>
      </c>
      <c r="F80" s="30" t="s">
        <v>53</v>
      </c>
      <c r="G80" s="30"/>
      <c r="H80" s="28">
        <f>+IF(ISBLANK(I80),0,VLOOKUP(I80,'8Příloha_2_ceník_pravid_úklid'!$B$9:$C$30,2,0))</f>
        <v>6</v>
      </c>
      <c r="I80" s="143" t="s">
        <v>1</v>
      </c>
      <c r="J80" s="145">
        <v>20.079999999999998</v>
      </c>
      <c r="K80" s="275" t="s">
        <v>51</v>
      </c>
      <c r="L80" s="156" t="s">
        <v>21</v>
      </c>
      <c r="M80" s="22" t="s">
        <v>49</v>
      </c>
      <c r="N80" s="24">
        <f>IF((VLOOKUP(I80,'8Příloha_2_ceník_pravid_úklid'!$B$9:$I$30,8,0))=0,VLOOKUP(I80,'8Příloha_2_ceník_pravid_úklid'!$B$9:$K$30,10,0),VLOOKUP(I80,'8Příloha_2_ceník_pravid_úklid'!$B$9:$I$30,8,0))</f>
        <v>0</v>
      </c>
      <c r="O80" s="20">
        <v>1</v>
      </c>
      <c r="P80" s="20">
        <v>1</v>
      </c>
      <c r="Q80" s="20">
        <v>0</v>
      </c>
      <c r="R80" s="20">
        <v>0</v>
      </c>
      <c r="S80" s="21">
        <f>NETWORKDAYS.INTL(DATE(2018,1,1),DATE(2018,12,31),1,{"2018/1/1";"2018/3/30";"2018/4/2";"2018/5/1";"2018/5/8";"2018/7/5";"2018/7/6";"2018/09/28";"2018/11/17";"2018/12/24";"2018/12/25";"2018/12/26"})</f>
        <v>250</v>
      </c>
      <c r="T80" s="21">
        <f t="shared" si="5"/>
        <v>115</v>
      </c>
      <c r="U80" s="21">
        <f t="shared" si="6"/>
        <v>365</v>
      </c>
      <c r="V80" s="311">
        <f t="shared" si="7"/>
        <v>250</v>
      </c>
      <c r="W80" s="140">
        <f t="shared" si="8"/>
        <v>0</v>
      </c>
      <c r="X80" s="141">
        <f t="shared" si="9"/>
        <v>0</v>
      </c>
      <c r="Y80" s="141">
        <v>0</v>
      </c>
    </row>
    <row r="81" spans="1:25" ht="15" x14ac:dyDescent="0.2">
      <c r="A81" s="276" t="s">
        <v>697</v>
      </c>
      <c r="B81" s="23" t="s">
        <v>334</v>
      </c>
      <c r="C81" s="23" t="s">
        <v>173</v>
      </c>
      <c r="D81" s="139" t="str">
        <f>VLOOKUP(C81,'Seznam HS - nemaš'!$A$1:$B$96,2,FALSE)</f>
        <v>411401</v>
      </c>
      <c r="E81" s="22" t="s">
        <v>753</v>
      </c>
      <c r="F81" s="30" t="s">
        <v>428</v>
      </c>
      <c r="G81" s="30" t="s">
        <v>754</v>
      </c>
      <c r="H81" s="28">
        <f>+IF(ISBLANK(I81),0,VLOOKUP(I81,'8Příloha_2_ceník_pravid_úklid'!$B$9:$C$30,2,0))</f>
        <v>2</v>
      </c>
      <c r="I81" s="143" t="s">
        <v>2</v>
      </c>
      <c r="J81" s="145">
        <v>35.25</v>
      </c>
      <c r="K81" s="275" t="s">
        <v>51</v>
      </c>
      <c r="L81" s="156" t="s">
        <v>21</v>
      </c>
      <c r="M81" s="22" t="s">
        <v>49</v>
      </c>
      <c r="N81" s="24">
        <f>IF((VLOOKUP(I81,'8Příloha_2_ceník_pravid_úklid'!$B$9:$I$30,8,0))=0,VLOOKUP(I81,'8Příloha_2_ceník_pravid_úklid'!$B$9:$K$30,10,0),VLOOKUP(I81,'8Příloha_2_ceník_pravid_úklid'!$B$9:$I$30,8,0))</f>
        <v>0</v>
      </c>
      <c r="O81" s="20">
        <v>1</v>
      </c>
      <c r="P81" s="20">
        <v>1</v>
      </c>
      <c r="Q81" s="20">
        <v>0</v>
      </c>
      <c r="R81" s="20">
        <v>0</v>
      </c>
      <c r="S81" s="21">
        <f>NETWORKDAYS.INTL(DATE(2018,1,1),DATE(2018,12,31),1,{"2018/1/1";"2018/3/30";"2018/4/2";"2018/5/1";"2018/5/8";"2018/7/5";"2018/7/6";"2018/09/28";"2018/11/17";"2018/12/24";"2018/12/25";"2018/12/26"})</f>
        <v>250</v>
      </c>
      <c r="T81" s="21">
        <f t="shared" si="5"/>
        <v>115</v>
      </c>
      <c r="U81" s="21">
        <f t="shared" si="6"/>
        <v>365</v>
      </c>
      <c r="V81" s="311">
        <f t="shared" si="7"/>
        <v>250</v>
      </c>
      <c r="W81" s="140">
        <f t="shared" si="8"/>
        <v>0</v>
      </c>
      <c r="X81" s="141">
        <f t="shared" si="9"/>
        <v>0</v>
      </c>
      <c r="Y81" s="141">
        <v>0</v>
      </c>
    </row>
    <row r="82" spans="1:25" ht="15" x14ac:dyDescent="0.2">
      <c r="A82" s="276" t="s">
        <v>697</v>
      </c>
      <c r="B82" s="23" t="s">
        <v>334</v>
      </c>
      <c r="C82" s="23" t="s">
        <v>173</v>
      </c>
      <c r="D82" s="139" t="str">
        <f>VLOOKUP(C82,'Seznam HS - nemaš'!$A$1:$B$96,2,FALSE)</f>
        <v>411401</v>
      </c>
      <c r="E82" s="22" t="s">
        <v>755</v>
      </c>
      <c r="F82" s="30" t="s">
        <v>428</v>
      </c>
      <c r="G82" s="30" t="s">
        <v>756</v>
      </c>
      <c r="H82" s="28">
        <f>+IF(ISBLANK(I82),0,VLOOKUP(I82,'8Příloha_2_ceník_pravid_úklid'!$B$9:$C$30,2,0))</f>
        <v>2</v>
      </c>
      <c r="I82" s="143" t="s">
        <v>2</v>
      </c>
      <c r="J82" s="145">
        <v>5</v>
      </c>
      <c r="K82" s="275" t="s">
        <v>51</v>
      </c>
      <c r="L82" s="156" t="s">
        <v>21</v>
      </c>
      <c r="M82" s="22" t="s">
        <v>49</v>
      </c>
      <c r="N82" s="24">
        <f>IF((VLOOKUP(I82,'8Příloha_2_ceník_pravid_úklid'!$B$9:$I$30,8,0))=0,VLOOKUP(I82,'8Příloha_2_ceník_pravid_úklid'!$B$9:$K$30,10,0),VLOOKUP(I82,'8Příloha_2_ceník_pravid_úklid'!$B$9:$I$30,8,0))</f>
        <v>0</v>
      </c>
      <c r="O82" s="20">
        <v>1</v>
      </c>
      <c r="P82" s="20">
        <v>1</v>
      </c>
      <c r="Q82" s="20">
        <v>0</v>
      </c>
      <c r="R82" s="20">
        <v>0</v>
      </c>
      <c r="S82" s="21">
        <f>NETWORKDAYS.INTL(DATE(2018,1,1),DATE(2018,12,31),1,{"2018/1/1";"2018/3/30";"2018/4/2";"2018/5/1";"2018/5/8";"2018/7/5";"2018/7/6";"2018/09/28";"2018/11/17";"2018/12/24";"2018/12/25";"2018/12/26"})</f>
        <v>250</v>
      </c>
      <c r="T82" s="21">
        <f t="shared" si="5"/>
        <v>115</v>
      </c>
      <c r="U82" s="21">
        <f t="shared" si="6"/>
        <v>365</v>
      </c>
      <c r="V82" s="311">
        <f t="shared" si="7"/>
        <v>250</v>
      </c>
      <c r="W82" s="140">
        <f t="shared" si="8"/>
        <v>0</v>
      </c>
      <c r="X82" s="141">
        <f t="shared" si="9"/>
        <v>0</v>
      </c>
      <c r="Y82" s="141">
        <v>0</v>
      </c>
    </row>
    <row r="83" spans="1:25" ht="15" x14ac:dyDescent="0.2">
      <c r="A83" s="235" t="s">
        <v>670</v>
      </c>
      <c r="B83" s="236" t="s">
        <v>334</v>
      </c>
      <c r="C83" s="236"/>
      <c r="D83" s="535">
        <f>VLOOKUP(C83,'Seznam HS - nemaš'!$A$1:$B$96,2,FALSE)</f>
        <v>0</v>
      </c>
      <c r="E83" s="237" t="s">
        <v>757</v>
      </c>
      <c r="F83" s="303" t="s">
        <v>758</v>
      </c>
      <c r="G83" s="303"/>
      <c r="H83" s="224">
        <f>+IF(ISBLANK(I83),0,VLOOKUP(I83,'8Příloha_2_ceník_pravid_úklid'!$B$9:$C$30,2,0))</f>
        <v>0</v>
      </c>
      <c r="I83" s="273"/>
      <c r="J83" s="241">
        <v>15</v>
      </c>
      <c r="K83" s="240"/>
      <c r="L83" s="242" t="s">
        <v>387</v>
      </c>
      <c r="M83" s="237"/>
      <c r="N83" s="229" t="s">
        <v>501</v>
      </c>
      <c r="O83" s="230">
        <v>0</v>
      </c>
      <c r="P83" s="230">
        <v>0</v>
      </c>
      <c r="Q83" s="230">
        <v>0</v>
      </c>
      <c r="R83" s="230">
        <v>0</v>
      </c>
      <c r="S83" s="231">
        <f>NETWORKDAYS.INTL(DATE(2018,1,1),DATE(2018,12,31),1,{"2018/1/1";"2018/3/30";"2018/4/2";"2018/5/1";"2018/5/8";"2018/7/5";"2018/7/6";"2018/09/28";"2018/11/17";"2018/12/24";"2018/12/25";"2018/12/26"})</f>
        <v>250</v>
      </c>
      <c r="T83" s="231">
        <f t="shared" si="5"/>
        <v>115</v>
      </c>
      <c r="U83" s="231">
        <f t="shared" si="6"/>
        <v>365</v>
      </c>
      <c r="V83" s="312">
        <f t="shared" si="7"/>
        <v>0</v>
      </c>
      <c r="W83" s="233">
        <f t="shared" si="8"/>
        <v>0</v>
      </c>
      <c r="X83" s="234">
        <f t="shared" si="9"/>
        <v>0</v>
      </c>
      <c r="Y83" s="234">
        <f t="shared" si="9"/>
        <v>0</v>
      </c>
    </row>
    <row r="84" spans="1:25" ht="15" x14ac:dyDescent="0.2">
      <c r="A84" s="235" t="s">
        <v>670</v>
      </c>
      <c r="B84" s="236" t="s">
        <v>334</v>
      </c>
      <c r="C84" s="236"/>
      <c r="D84" s="535">
        <f>VLOOKUP(C84,'Seznam HS - nemaš'!$A$1:$B$96,2,FALSE)</f>
        <v>0</v>
      </c>
      <c r="E84" s="237" t="s">
        <v>759</v>
      </c>
      <c r="F84" s="303" t="s">
        <v>760</v>
      </c>
      <c r="G84" s="303" t="s">
        <v>761</v>
      </c>
      <c r="H84" s="224">
        <f>+IF(ISBLANK(I84),0,VLOOKUP(I84,'8Příloha_2_ceník_pravid_úklid'!$B$9:$C$30,2,0))</f>
        <v>0</v>
      </c>
      <c r="I84" s="273"/>
      <c r="J84" s="241">
        <v>8.23</v>
      </c>
      <c r="K84" s="240"/>
      <c r="L84" s="242" t="s">
        <v>387</v>
      </c>
      <c r="M84" s="237"/>
      <c r="N84" s="229" t="s">
        <v>501</v>
      </c>
      <c r="O84" s="230">
        <v>0</v>
      </c>
      <c r="P84" s="230">
        <v>0</v>
      </c>
      <c r="Q84" s="230">
        <v>0</v>
      </c>
      <c r="R84" s="230">
        <v>0</v>
      </c>
      <c r="S84" s="231">
        <f>NETWORKDAYS.INTL(DATE(2018,1,1),DATE(2018,12,31),1,{"2018/1/1";"2018/3/30";"2018/4/2";"2018/5/1";"2018/5/8";"2018/7/5";"2018/7/6";"2018/09/28";"2018/11/17";"2018/12/24";"2018/12/25";"2018/12/26"})</f>
        <v>250</v>
      </c>
      <c r="T84" s="231">
        <f t="shared" si="5"/>
        <v>115</v>
      </c>
      <c r="U84" s="231">
        <f t="shared" si="6"/>
        <v>365</v>
      </c>
      <c r="V84" s="312">
        <f t="shared" si="7"/>
        <v>0</v>
      </c>
      <c r="W84" s="233">
        <f t="shared" si="8"/>
        <v>0</v>
      </c>
      <c r="X84" s="234">
        <f t="shared" si="9"/>
        <v>0</v>
      </c>
      <c r="Y84" s="234">
        <f t="shared" si="9"/>
        <v>0</v>
      </c>
    </row>
    <row r="85" spans="1:25" ht="15" x14ac:dyDescent="0.2">
      <c r="A85" s="276" t="s">
        <v>762</v>
      </c>
      <c r="B85" s="23" t="s">
        <v>334</v>
      </c>
      <c r="C85" s="23"/>
      <c r="D85" s="139">
        <f>VLOOKUP(C85,'Seznam HS - nemaš'!$A$1:$B$96,2,FALSE)</f>
        <v>0</v>
      </c>
      <c r="E85" s="22" t="s">
        <v>763</v>
      </c>
      <c r="F85" s="30" t="s">
        <v>764</v>
      </c>
      <c r="G85" s="30"/>
      <c r="H85" s="28">
        <f>+IF(ISBLANK(I85),0,VLOOKUP(I85,'8Příloha_2_ceník_pravid_úklid'!$B$9:$C$30,2,0))</f>
        <v>11</v>
      </c>
      <c r="I85" s="143" t="s">
        <v>7</v>
      </c>
      <c r="J85" s="145">
        <v>4.1900000000000004</v>
      </c>
      <c r="K85" s="275" t="s">
        <v>651</v>
      </c>
      <c r="L85" s="156" t="s">
        <v>22</v>
      </c>
      <c r="M85" s="22" t="s">
        <v>49</v>
      </c>
      <c r="N85" s="24">
        <f>IF((VLOOKUP(I85,'8Příloha_2_ceník_pravid_úklid'!$B$9:$I$30,8,0))=0,VLOOKUP(I85,'8Příloha_2_ceník_pravid_úklid'!$B$9:$K$30,10,0),VLOOKUP(I85,'8Příloha_2_ceník_pravid_úklid'!$B$9:$I$30,8,0))</f>
        <v>0</v>
      </c>
      <c r="O85" s="20">
        <v>2</v>
      </c>
      <c r="P85" s="20">
        <v>1</v>
      </c>
      <c r="Q85" s="20">
        <v>2</v>
      </c>
      <c r="R85" s="20">
        <v>1</v>
      </c>
      <c r="S85" s="21">
        <f>NETWORKDAYS.INTL(DATE(2018,1,1),DATE(2018,12,31),1,{"2018/1/1";"2018/3/30";"2018/4/2";"2018/5/1";"2018/5/8";"2018/7/5";"2018/7/6";"2018/09/28";"2018/11/17";"2018/12/24";"2018/12/25";"2018/12/26"})</f>
        <v>250</v>
      </c>
      <c r="T85" s="21">
        <f t="shared" si="5"/>
        <v>115</v>
      </c>
      <c r="U85" s="21">
        <f t="shared" si="6"/>
        <v>365</v>
      </c>
      <c r="V85" s="311">
        <f t="shared" si="7"/>
        <v>730</v>
      </c>
      <c r="W85" s="140">
        <f t="shared" si="8"/>
        <v>0</v>
      </c>
      <c r="X85" s="141">
        <f t="shared" si="9"/>
        <v>0</v>
      </c>
      <c r="Y85" s="234">
        <v>0</v>
      </c>
    </row>
    <row r="86" spans="1:25" ht="15" x14ac:dyDescent="0.2">
      <c r="A86" s="276" t="s">
        <v>762</v>
      </c>
      <c r="B86" s="23" t="s">
        <v>334</v>
      </c>
      <c r="C86" s="23"/>
      <c r="D86" s="139">
        <f>VLOOKUP(C86,'Seznam HS - nemaš'!$A$1:$B$96,2,FALSE)</f>
        <v>0</v>
      </c>
      <c r="E86" s="22" t="s">
        <v>765</v>
      </c>
      <c r="F86" s="30" t="s">
        <v>766</v>
      </c>
      <c r="G86" s="30"/>
      <c r="H86" s="28">
        <f>+IF(ISBLANK(I86),0,VLOOKUP(I86,'8Příloha_2_ceník_pravid_úklid'!$B$9:$C$30,2,0))</f>
        <v>11</v>
      </c>
      <c r="I86" s="143" t="s">
        <v>7</v>
      </c>
      <c r="J86" s="145">
        <v>6.81</v>
      </c>
      <c r="K86" s="275" t="s">
        <v>651</v>
      </c>
      <c r="L86" s="156" t="s">
        <v>22</v>
      </c>
      <c r="M86" s="22" t="s">
        <v>49</v>
      </c>
      <c r="N86" s="24">
        <f>IF((VLOOKUP(I86,'8Příloha_2_ceník_pravid_úklid'!$B$9:$I$30,8,0))=0,VLOOKUP(I86,'8Příloha_2_ceník_pravid_úklid'!$B$9:$K$30,10,0),VLOOKUP(I86,'8Příloha_2_ceník_pravid_úklid'!$B$9:$I$30,8,0))</f>
        <v>0</v>
      </c>
      <c r="O86" s="20">
        <v>2</v>
      </c>
      <c r="P86" s="20">
        <v>1</v>
      </c>
      <c r="Q86" s="20">
        <v>2</v>
      </c>
      <c r="R86" s="20">
        <v>1</v>
      </c>
      <c r="S86" s="21">
        <f>NETWORKDAYS.INTL(DATE(2018,1,1),DATE(2018,12,31),1,{"2018/1/1";"2018/3/30";"2018/4/2";"2018/5/1";"2018/5/8";"2018/7/5";"2018/7/6";"2018/09/28";"2018/11/17";"2018/12/24";"2018/12/25";"2018/12/26"})</f>
        <v>250</v>
      </c>
      <c r="T86" s="21">
        <f t="shared" si="5"/>
        <v>115</v>
      </c>
      <c r="U86" s="21">
        <f t="shared" si="6"/>
        <v>365</v>
      </c>
      <c r="V86" s="311">
        <f t="shared" si="7"/>
        <v>730</v>
      </c>
      <c r="W86" s="140">
        <f t="shared" si="8"/>
        <v>0</v>
      </c>
      <c r="X86" s="141">
        <f t="shared" si="9"/>
        <v>0</v>
      </c>
      <c r="Y86" s="234">
        <v>0</v>
      </c>
    </row>
    <row r="87" spans="1:25" ht="15" x14ac:dyDescent="0.2">
      <c r="A87" s="353" t="s">
        <v>767</v>
      </c>
      <c r="B87" s="23" t="s">
        <v>334</v>
      </c>
      <c r="C87" s="23"/>
      <c r="D87" s="139">
        <f>VLOOKUP(C87,'Seznam HS - nemaš'!$A$1:$B$96,2,FALSE)</f>
        <v>0</v>
      </c>
      <c r="E87" s="22" t="s">
        <v>768</v>
      </c>
      <c r="F87" s="30" t="s">
        <v>769</v>
      </c>
      <c r="G87" s="30" t="s">
        <v>770</v>
      </c>
      <c r="H87" s="28">
        <f>+IF(ISBLANK(I87),0,VLOOKUP(I87,'8Příloha_2_ceník_pravid_úklid'!$B$9:$C$30,2,0))</f>
        <v>6</v>
      </c>
      <c r="I87" s="143" t="s">
        <v>1</v>
      </c>
      <c r="J87" s="245">
        <v>22.29</v>
      </c>
      <c r="K87" s="275" t="s">
        <v>50</v>
      </c>
      <c r="L87" s="156" t="s">
        <v>65</v>
      </c>
      <c r="M87" s="22" t="s">
        <v>771</v>
      </c>
      <c r="N87" s="24">
        <f>IF((VLOOKUP(I87,'8Příloha_2_ceník_pravid_úklid'!$B$9:$I$30,8,0))=0,VLOOKUP(I87,'8Příloha_2_ceník_pravid_úklid'!$B$9:$K$30,10,0),VLOOKUP(I87,'8Příloha_2_ceník_pravid_úklid'!$B$9:$I$30,8,0))</f>
        <v>0</v>
      </c>
      <c r="O87" s="20">
        <v>2</v>
      </c>
      <c r="P87" s="20">
        <v>1</v>
      </c>
      <c r="Q87" s="20">
        <v>0</v>
      </c>
      <c r="R87" s="20">
        <v>0</v>
      </c>
      <c r="S87" s="21">
        <f>NETWORKDAYS.INTL(DATE(2018,1,1),DATE(2018,12,31),1,{"2018/1/1";"2018/3/30";"2018/4/2";"2018/5/1";"2018/5/8";"2018/7/5";"2018/7/6";"2018/09/28";"2018/11/17";"2018/12/24";"2018/12/25";"2018/12/26"})</f>
        <v>250</v>
      </c>
      <c r="T87" s="21">
        <f t="shared" si="5"/>
        <v>115</v>
      </c>
      <c r="U87" s="21">
        <f t="shared" si="6"/>
        <v>365</v>
      </c>
      <c r="V87" s="311">
        <f t="shared" si="7"/>
        <v>500</v>
      </c>
      <c r="W87" s="140">
        <f t="shared" si="8"/>
        <v>0</v>
      </c>
      <c r="X87" s="141">
        <f t="shared" si="9"/>
        <v>0</v>
      </c>
      <c r="Y87" s="141">
        <v>0</v>
      </c>
    </row>
    <row r="88" spans="1:25" ht="15" x14ac:dyDescent="0.2">
      <c r="A88" s="353" t="s">
        <v>767</v>
      </c>
      <c r="B88" s="23" t="s">
        <v>334</v>
      </c>
      <c r="C88" s="23"/>
      <c r="D88" s="139">
        <f>VLOOKUP(C88,'Seznam HS - nemaš'!$A$1:$B$96,2,FALSE)</f>
        <v>0</v>
      </c>
      <c r="E88" s="22" t="s">
        <v>772</v>
      </c>
      <c r="F88" s="30" t="s">
        <v>350</v>
      </c>
      <c r="G88" s="30" t="s">
        <v>773</v>
      </c>
      <c r="H88" s="28">
        <f>+IF(ISBLANK(I88),0,VLOOKUP(I88,'8Příloha_2_ceník_pravid_úklid'!$B$9:$C$30,2,0))</f>
        <v>6</v>
      </c>
      <c r="I88" s="143" t="s">
        <v>1</v>
      </c>
      <c r="J88" s="245">
        <v>50.5</v>
      </c>
      <c r="K88" s="275" t="s">
        <v>50</v>
      </c>
      <c r="L88" s="156" t="s">
        <v>65</v>
      </c>
      <c r="M88" s="22" t="s">
        <v>774</v>
      </c>
      <c r="N88" s="24">
        <f>IF((VLOOKUP(I88,'8Příloha_2_ceník_pravid_úklid'!$B$9:$I$30,8,0))=0,VLOOKUP(I88,'8Příloha_2_ceník_pravid_úklid'!$B$9:$K$30,10,0),VLOOKUP(I88,'8Příloha_2_ceník_pravid_úklid'!$B$9:$I$30,8,0))</f>
        <v>0</v>
      </c>
      <c r="O88" s="20">
        <v>2</v>
      </c>
      <c r="P88" s="20">
        <v>1</v>
      </c>
      <c r="Q88" s="20">
        <v>0</v>
      </c>
      <c r="R88" s="20">
        <v>0</v>
      </c>
      <c r="S88" s="21">
        <f>NETWORKDAYS.INTL(DATE(2018,1,1),DATE(2018,12,31),1,{"2018/1/1";"2018/3/30";"2018/4/2";"2018/5/1";"2018/5/8";"2018/7/5";"2018/7/6";"2018/09/28";"2018/11/17";"2018/12/24";"2018/12/25";"2018/12/26"})</f>
        <v>250</v>
      </c>
      <c r="T88" s="21">
        <f t="shared" si="5"/>
        <v>115</v>
      </c>
      <c r="U88" s="21">
        <f t="shared" si="6"/>
        <v>365</v>
      </c>
      <c r="V88" s="311">
        <f t="shared" si="7"/>
        <v>500</v>
      </c>
      <c r="W88" s="140">
        <f t="shared" si="8"/>
        <v>0</v>
      </c>
      <c r="X88" s="141">
        <f t="shared" si="9"/>
        <v>0</v>
      </c>
      <c r="Y88" s="141">
        <v>0</v>
      </c>
    </row>
    <row r="89" spans="1:25" ht="15" x14ac:dyDescent="0.2">
      <c r="A89" s="353" t="s">
        <v>767</v>
      </c>
      <c r="B89" s="23" t="s">
        <v>334</v>
      </c>
      <c r="C89" s="23"/>
      <c r="D89" s="139">
        <f>VLOOKUP(C89,'Seznam HS - nemaš'!$A$1:$B$96,2,FALSE)</f>
        <v>0</v>
      </c>
      <c r="E89" s="22" t="s">
        <v>775</v>
      </c>
      <c r="F89" s="30" t="s">
        <v>389</v>
      </c>
      <c r="G89" s="30" t="s">
        <v>596</v>
      </c>
      <c r="H89" s="28">
        <f>+IF(ISBLANK(I89),0,VLOOKUP(I89,'8Příloha_2_ceník_pravid_úklid'!$B$9:$C$30,2,0))</f>
        <v>17</v>
      </c>
      <c r="I89" s="143" t="s">
        <v>13</v>
      </c>
      <c r="J89" s="245">
        <v>3.12</v>
      </c>
      <c r="K89" s="275" t="s">
        <v>50</v>
      </c>
      <c r="L89" s="156" t="s">
        <v>89</v>
      </c>
      <c r="M89" s="22" t="s">
        <v>49</v>
      </c>
      <c r="N89" s="24">
        <f>IF((VLOOKUP(I89,'8Příloha_2_ceník_pravid_úklid'!$B$9:$I$30,8,0))=0,VLOOKUP(I89,'8Příloha_2_ceník_pravid_úklid'!$B$9:$K$30,10,0),VLOOKUP(I89,'8Příloha_2_ceník_pravid_úklid'!$B$9:$I$30,8,0))</f>
        <v>0</v>
      </c>
      <c r="O89" s="20">
        <v>1</v>
      </c>
      <c r="P89" s="20">
        <v>1</v>
      </c>
      <c r="Q89" s="20">
        <v>0</v>
      </c>
      <c r="R89" s="20">
        <v>0</v>
      </c>
      <c r="S89" s="21">
        <f>NETWORKDAYS.INTL(DATE(2018,1,1),DATE(2018,12,31),1,{"2018/1/1";"2018/3/30";"2018/4/2";"2018/5/1";"2018/5/8";"2018/7/5";"2018/7/6";"2018/09/28";"2018/11/17";"2018/12/24";"2018/12/25";"2018/12/26"})</f>
        <v>250</v>
      </c>
      <c r="T89" s="21">
        <f t="shared" si="5"/>
        <v>115</v>
      </c>
      <c r="U89" s="21">
        <f t="shared" si="6"/>
        <v>365</v>
      </c>
      <c r="V89" s="311">
        <f t="shared" si="7"/>
        <v>250</v>
      </c>
      <c r="W89" s="140">
        <f t="shared" si="8"/>
        <v>0</v>
      </c>
      <c r="X89" s="141">
        <f t="shared" si="9"/>
        <v>0</v>
      </c>
      <c r="Y89" s="141">
        <v>0</v>
      </c>
    </row>
    <row r="90" spans="1:25" ht="15" x14ac:dyDescent="0.2">
      <c r="A90" s="353" t="s">
        <v>767</v>
      </c>
      <c r="B90" s="23" t="s">
        <v>334</v>
      </c>
      <c r="C90" s="23"/>
      <c r="D90" s="139">
        <f>VLOOKUP(C90,'Seznam HS - nemaš'!$A$1:$B$96,2,FALSE)</f>
        <v>0</v>
      </c>
      <c r="E90" s="22" t="s">
        <v>776</v>
      </c>
      <c r="F90" s="30" t="s">
        <v>336</v>
      </c>
      <c r="G90" s="30"/>
      <c r="H90" s="28">
        <f>+IF(ISBLANK(I90),0,VLOOKUP(I90,'8Příloha_2_ceník_pravid_úklid'!$B$9:$C$30,2,0))</f>
        <v>8</v>
      </c>
      <c r="I90" s="143" t="s">
        <v>11</v>
      </c>
      <c r="J90" s="245">
        <v>6.91</v>
      </c>
      <c r="K90" s="275" t="s">
        <v>64</v>
      </c>
      <c r="L90" s="156" t="s">
        <v>65</v>
      </c>
      <c r="M90" s="22" t="s">
        <v>49</v>
      </c>
      <c r="N90" s="24">
        <f>IF((VLOOKUP(I90,'8Příloha_2_ceník_pravid_úklid'!$B$9:$I$30,8,0))=0,VLOOKUP(I90,'8Příloha_2_ceník_pravid_úklid'!$B$9:$K$30,10,0),VLOOKUP(I90,'8Příloha_2_ceník_pravid_úklid'!$B$9:$I$30,8,0))</f>
        <v>0</v>
      </c>
      <c r="O90" s="20">
        <v>2</v>
      </c>
      <c r="P90" s="20">
        <v>1</v>
      </c>
      <c r="Q90" s="20">
        <v>0</v>
      </c>
      <c r="R90" s="20">
        <v>0</v>
      </c>
      <c r="S90" s="21">
        <f>NETWORKDAYS.INTL(DATE(2018,1,1),DATE(2018,12,31),1,{"2018/1/1";"2018/3/30";"2018/4/2";"2018/5/1";"2018/5/8";"2018/7/5";"2018/7/6";"2018/09/28";"2018/11/17";"2018/12/24";"2018/12/25";"2018/12/26"})</f>
        <v>250</v>
      </c>
      <c r="T90" s="21">
        <f t="shared" si="5"/>
        <v>115</v>
      </c>
      <c r="U90" s="21">
        <f t="shared" si="6"/>
        <v>365</v>
      </c>
      <c r="V90" s="311">
        <f t="shared" si="7"/>
        <v>500</v>
      </c>
      <c r="W90" s="140">
        <f t="shared" si="8"/>
        <v>0</v>
      </c>
      <c r="X90" s="141">
        <f t="shared" si="9"/>
        <v>0</v>
      </c>
      <c r="Y90" s="141">
        <v>0</v>
      </c>
    </row>
    <row r="91" spans="1:25" ht="15" x14ac:dyDescent="0.2">
      <c r="A91" s="353" t="s">
        <v>777</v>
      </c>
      <c r="B91" s="23" t="s">
        <v>334</v>
      </c>
      <c r="C91" s="23" t="s">
        <v>173</v>
      </c>
      <c r="D91" s="139" t="str">
        <f>VLOOKUP(C91,'Seznam HS - nemaš'!$A$1:$B$96,2,FALSE)</f>
        <v>411401</v>
      </c>
      <c r="E91" s="22" t="s">
        <v>778</v>
      </c>
      <c r="F91" s="30" t="s">
        <v>494</v>
      </c>
      <c r="G91" s="30" t="s">
        <v>779</v>
      </c>
      <c r="H91" s="28">
        <f>+IF(ISBLANK(I91),0,VLOOKUP(I91,'8Příloha_2_ceník_pravid_úklid'!$B$9:$C$30,2,0))</f>
        <v>10</v>
      </c>
      <c r="I91" s="143" t="s">
        <v>0</v>
      </c>
      <c r="J91" s="145">
        <v>10.26</v>
      </c>
      <c r="K91" s="275" t="s">
        <v>50</v>
      </c>
      <c r="L91" s="156" t="s">
        <v>780</v>
      </c>
      <c r="M91" s="22" t="s">
        <v>49</v>
      </c>
      <c r="N91" s="24">
        <f>IF((VLOOKUP(I91,'8Příloha_2_ceník_pravid_úklid'!$B$9:$I$30,8,0))=0,VLOOKUP(I91,'8Příloha_2_ceník_pravid_úklid'!$B$9:$K$30,10,0),VLOOKUP(I91,'8Příloha_2_ceník_pravid_úklid'!$B$9:$I$30,8,0))</f>
        <v>0</v>
      </c>
      <c r="O91" s="20">
        <v>1</v>
      </c>
      <c r="P91" s="20">
        <f>3/5</f>
        <v>0.6</v>
      </c>
      <c r="Q91" s="20">
        <v>0</v>
      </c>
      <c r="R91" s="20">
        <v>0</v>
      </c>
      <c r="S91" s="21">
        <f>NETWORKDAYS.INTL(DATE(2018,1,1),DATE(2018,12,31),1,{"2018/1/1";"2018/3/30";"2018/4/2";"2018/5/1";"2018/5/8";"2018/7/5";"2018/7/6";"2018/09/28";"2018/11/17";"2018/12/24";"2018/12/25";"2018/12/26"})</f>
        <v>250</v>
      </c>
      <c r="T91" s="21">
        <f t="shared" si="5"/>
        <v>115</v>
      </c>
      <c r="U91" s="21">
        <f t="shared" si="6"/>
        <v>365</v>
      </c>
      <c r="V91" s="311">
        <f t="shared" si="7"/>
        <v>150</v>
      </c>
      <c r="W91" s="140">
        <f t="shared" si="8"/>
        <v>0</v>
      </c>
      <c r="X91" s="141">
        <f t="shared" si="9"/>
        <v>0</v>
      </c>
      <c r="Y91" s="141">
        <v>0</v>
      </c>
    </row>
    <row r="92" spans="1:25" ht="15" x14ac:dyDescent="0.2">
      <c r="A92" s="353" t="s">
        <v>777</v>
      </c>
      <c r="B92" s="23" t="s">
        <v>334</v>
      </c>
      <c r="C92" s="23" t="s">
        <v>173</v>
      </c>
      <c r="D92" s="139" t="str">
        <f>VLOOKUP(C92,'Seznam HS - nemaš'!$A$1:$B$96,2,FALSE)</f>
        <v>411401</v>
      </c>
      <c r="E92" s="22" t="s">
        <v>781</v>
      </c>
      <c r="F92" s="30" t="s">
        <v>437</v>
      </c>
      <c r="G92" s="30"/>
      <c r="H92" s="28">
        <f>+IF(ISBLANK(I92),0,VLOOKUP(I92,'8Příloha_2_ceník_pravid_úklid'!$B$9:$C$30,2,0))</f>
        <v>7</v>
      </c>
      <c r="I92" s="143" t="s">
        <v>14</v>
      </c>
      <c r="J92" s="145">
        <v>1.26</v>
      </c>
      <c r="K92" s="275" t="s">
        <v>50</v>
      </c>
      <c r="L92" s="156" t="s">
        <v>637</v>
      </c>
      <c r="M92" s="22" t="s">
        <v>49</v>
      </c>
      <c r="N92" s="24">
        <f>IF((VLOOKUP(I92,'8Příloha_2_ceník_pravid_úklid'!$B$9:$I$30,8,0))=0,VLOOKUP(I92,'8Příloha_2_ceník_pravid_úklid'!$B$9:$K$30,10,0),VLOOKUP(I92,'8Příloha_2_ceník_pravid_úklid'!$B$9:$I$30,8,0))</f>
        <v>0</v>
      </c>
      <c r="O92" s="20">
        <v>1</v>
      </c>
      <c r="P92" s="20">
        <f>2/5</f>
        <v>0.4</v>
      </c>
      <c r="Q92" s="20">
        <v>0</v>
      </c>
      <c r="R92" s="20">
        <v>0</v>
      </c>
      <c r="S92" s="21">
        <f>NETWORKDAYS.INTL(DATE(2018,1,1),DATE(2018,12,31),1,{"2018/1/1";"2018/3/30";"2018/4/2";"2018/5/1";"2018/5/8";"2018/7/5";"2018/7/6";"2018/09/28";"2018/11/17";"2018/12/24";"2018/12/25";"2018/12/26"})</f>
        <v>250</v>
      </c>
      <c r="T92" s="21">
        <f t="shared" si="5"/>
        <v>115</v>
      </c>
      <c r="U92" s="21">
        <f t="shared" si="6"/>
        <v>365</v>
      </c>
      <c r="V92" s="311">
        <f t="shared" si="7"/>
        <v>100</v>
      </c>
      <c r="W92" s="140">
        <f t="shared" si="8"/>
        <v>0</v>
      </c>
      <c r="X92" s="141">
        <f t="shared" si="9"/>
        <v>0</v>
      </c>
      <c r="Y92" s="141">
        <v>0</v>
      </c>
    </row>
    <row r="93" spans="1:25" ht="15" x14ac:dyDescent="0.2">
      <c r="A93" s="353" t="s">
        <v>777</v>
      </c>
      <c r="B93" s="23" t="s">
        <v>334</v>
      </c>
      <c r="C93" s="23" t="s">
        <v>173</v>
      </c>
      <c r="D93" s="139" t="str">
        <f>VLOOKUP(C93,'Seznam HS - nemaš'!$A$1:$B$96,2,FALSE)</f>
        <v>411401</v>
      </c>
      <c r="E93" s="22" t="s">
        <v>782</v>
      </c>
      <c r="F93" s="30" t="s">
        <v>477</v>
      </c>
      <c r="G93" s="30"/>
      <c r="H93" s="28">
        <f>+IF(ISBLANK(I93),0,VLOOKUP(I93,'8Příloha_2_ceník_pravid_úklid'!$B$9:$C$30,2,0))</f>
        <v>7</v>
      </c>
      <c r="I93" s="143" t="s">
        <v>14</v>
      </c>
      <c r="J93" s="145">
        <v>4</v>
      </c>
      <c r="K93" s="275" t="s">
        <v>50</v>
      </c>
      <c r="L93" s="156" t="s">
        <v>637</v>
      </c>
      <c r="M93" s="22" t="s">
        <v>49</v>
      </c>
      <c r="N93" s="24">
        <f>IF((VLOOKUP(I93,'8Příloha_2_ceník_pravid_úklid'!$B$9:$I$30,8,0))=0,VLOOKUP(I93,'8Příloha_2_ceník_pravid_úklid'!$B$9:$K$30,10,0),VLOOKUP(I93,'8Příloha_2_ceník_pravid_úklid'!$B$9:$I$30,8,0))</f>
        <v>0</v>
      </c>
      <c r="O93" s="20">
        <v>1</v>
      </c>
      <c r="P93" s="20">
        <f>2/5</f>
        <v>0.4</v>
      </c>
      <c r="Q93" s="20">
        <v>0</v>
      </c>
      <c r="R93" s="20">
        <v>0</v>
      </c>
      <c r="S93" s="21">
        <f>NETWORKDAYS.INTL(DATE(2018,1,1),DATE(2018,12,31),1,{"2018/1/1";"2018/3/30";"2018/4/2";"2018/5/1";"2018/5/8";"2018/7/5";"2018/7/6";"2018/09/28";"2018/11/17";"2018/12/24";"2018/12/25";"2018/12/26"})</f>
        <v>250</v>
      </c>
      <c r="T93" s="21">
        <f t="shared" si="5"/>
        <v>115</v>
      </c>
      <c r="U93" s="21">
        <f t="shared" si="6"/>
        <v>365</v>
      </c>
      <c r="V93" s="311">
        <f t="shared" si="7"/>
        <v>100</v>
      </c>
      <c r="W93" s="140">
        <f t="shared" si="8"/>
        <v>0</v>
      </c>
      <c r="X93" s="141">
        <f t="shared" si="9"/>
        <v>0</v>
      </c>
      <c r="Y93" s="141">
        <v>0</v>
      </c>
    </row>
    <row r="94" spans="1:25" ht="15" x14ac:dyDescent="0.2">
      <c r="A94" s="354" t="s">
        <v>670</v>
      </c>
      <c r="B94" s="236" t="s">
        <v>334</v>
      </c>
      <c r="C94" s="236"/>
      <c r="D94" s="535">
        <f>VLOOKUP(C94,'Seznam HS - nemaš'!$A$1:$B$96,2,FALSE)</f>
        <v>0</v>
      </c>
      <c r="E94" s="237" t="s">
        <v>783</v>
      </c>
      <c r="F94" s="303" t="s">
        <v>784</v>
      </c>
      <c r="G94" s="303"/>
      <c r="H94" s="224">
        <f>+IF(ISBLANK(I94),0,VLOOKUP(I94,'8Příloha_2_ceník_pravid_úklid'!$B$9:$C$30,2,0))</f>
        <v>0</v>
      </c>
      <c r="I94" s="273"/>
      <c r="J94" s="239">
        <v>6.58</v>
      </c>
      <c r="K94" s="240"/>
      <c r="L94" s="242" t="s">
        <v>387</v>
      </c>
      <c r="M94" s="237"/>
      <c r="N94" s="229" t="s">
        <v>501</v>
      </c>
      <c r="O94" s="230">
        <v>0</v>
      </c>
      <c r="P94" s="230">
        <v>0</v>
      </c>
      <c r="Q94" s="230">
        <v>0</v>
      </c>
      <c r="R94" s="230">
        <v>0</v>
      </c>
      <c r="S94" s="231">
        <f>NETWORKDAYS.INTL(DATE(2018,1,1),DATE(2018,12,31),1,{"2018/1/1";"2018/3/30";"2018/4/2";"2018/5/1";"2018/5/8";"2018/7/5";"2018/7/6";"2018/09/28";"2018/11/17";"2018/12/24";"2018/12/25";"2018/12/26"})</f>
        <v>250</v>
      </c>
      <c r="T94" s="231">
        <f t="shared" si="5"/>
        <v>115</v>
      </c>
      <c r="U94" s="231">
        <f t="shared" si="6"/>
        <v>365</v>
      </c>
      <c r="V94" s="312">
        <f t="shared" si="7"/>
        <v>0</v>
      </c>
      <c r="W94" s="233">
        <f t="shared" si="8"/>
        <v>0</v>
      </c>
      <c r="X94" s="234">
        <f t="shared" si="9"/>
        <v>0</v>
      </c>
      <c r="Y94" s="234">
        <f t="shared" si="9"/>
        <v>0</v>
      </c>
    </row>
    <row r="95" spans="1:25" ht="15" x14ac:dyDescent="0.2">
      <c r="A95" s="354" t="s">
        <v>670</v>
      </c>
      <c r="B95" s="236" t="s">
        <v>334</v>
      </c>
      <c r="C95" s="236"/>
      <c r="D95" s="535">
        <f>VLOOKUP(C95,'Seznam HS - nemaš'!$A$1:$B$96,2,FALSE)</f>
        <v>0</v>
      </c>
      <c r="E95" s="237" t="s">
        <v>785</v>
      </c>
      <c r="F95" s="303" t="s">
        <v>505</v>
      </c>
      <c r="G95" s="303" t="s">
        <v>663</v>
      </c>
      <c r="H95" s="224">
        <f>+IF(ISBLANK(I95),0,VLOOKUP(I95,'8Příloha_2_ceník_pravid_úklid'!$B$9:$C$30,2,0))</f>
        <v>0</v>
      </c>
      <c r="I95" s="273"/>
      <c r="J95" s="239">
        <v>54.79</v>
      </c>
      <c r="K95" s="240"/>
      <c r="L95" s="242" t="s">
        <v>387</v>
      </c>
      <c r="M95" s="237"/>
      <c r="N95" s="229" t="s">
        <v>501</v>
      </c>
      <c r="O95" s="230">
        <v>0</v>
      </c>
      <c r="P95" s="230">
        <v>0</v>
      </c>
      <c r="Q95" s="230">
        <v>0</v>
      </c>
      <c r="R95" s="230">
        <v>0</v>
      </c>
      <c r="S95" s="231">
        <f>NETWORKDAYS.INTL(DATE(2018,1,1),DATE(2018,12,31),1,{"2018/1/1";"2018/3/30";"2018/4/2";"2018/5/1";"2018/5/8";"2018/7/5";"2018/7/6";"2018/09/28";"2018/11/17";"2018/12/24";"2018/12/25";"2018/12/26"})</f>
        <v>250</v>
      </c>
      <c r="T95" s="231">
        <f t="shared" si="5"/>
        <v>115</v>
      </c>
      <c r="U95" s="231">
        <f t="shared" si="6"/>
        <v>365</v>
      </c>
      <c r="V95" s="312">
        <f t="shared" si="7"/>
        <v>0</v>
      </c>
      <c r="W95" s="233">
        <f t="shared" si="8"/>
        <v>0</v>
      </c>
      <c r="X95" s="234">
        <f t="shared" si="9"/>
        <v>0</v>
      </c>
      <c r="Y95" s="234">
        <f t="shared" si="9"/>
        <v>0</v>
      </c>
    </row>
    <row r="96" spans="1:25" ht="15" x14ac:dyDescent="0.2">
      <c r="A96" s="354" t="s">
        <v>670</v>
      </c>
      <c r="B96" s="236" t="s">
        <v>334</v>
      </c>
      <c r="C96" s="236"/>
      <c r="D96" s="535">
        <f>VLOOKUP(C96,'Seznam HS - nemaš'!$A$1:$B$96,2,FALSE)</f>
        <v>0</v>
      </c>
      <c r="E96" s="237" t="s">
        <v>786</v>
      </c>
      <c r="F96" s="303" t="s">
        <v>784</v>
      </c>
      <c r="G96" s="303"/>
      <c r="H96" s="224">
        <f>+IF(ISBLANK(I96),0,VLOOKUP(I96,'8Příloha_2_ceník_pravid_úklid'!$B$9:$C$30,2,0))</f>
        <v>0</v>
      </c>
      <c r="I96" s="273"/>
      <c r="J96" s="239">
        <v>6.23</v>
      </c>
      <c r="K96" s="240"/>
      <c r="L96" s="242" t="s">
        <v>387</v>
      </c>
      <c r="M96" s="237"/>
      <c r="N96" s="229" t="s">
        <v>501</v>
      </c>
      <c r="O96" s="230">
        <v>0</v>
      </c>
      <c r="P96" s="230">
        <v>0</v>
      </c>
      <c r="Q96" s="230">
        <v>0</v>
      </c>
      <c r="R96" s="230">
        <v>0</v>
      </c>
      <c r="S96" s="231">
        <f>NETWORKDAYS.INTL(DATE(2018,1,1),DATE(2018,12,31),1,{"2018/1/1";"2018/3/30";"2018/4/2";"2018/5/1";"2018/5/8";"2018/7/5";"2018/7/6";"2018/09/28";"2018/11/17";"2018/12/24";"2018/12/25";"2018/12/26"})</f>
        <v>250</v>
      </c>
      <c r="T96" s="231">
        <f t="shared" si="5"/>
        <v>115</v>
      </c>
      <c r="U96" s="231">
        <f t="shared" si="6"/>
        <v>365</v>
      </c>
      <c r="V96" s="312">
        <f t="shared" si="7"/>
        <v>0</v>
      </c>
      <c r="W96" s="233">
        <f t="shared" si="8"/>
        <v>0</v>
      </c>
      <c r="X96" s="234">
        <f t="shared" si="9"/>
        <v>0</v>
      </c>
      <c r="Y96" s="234">
        <f t="shared" si="9"/>
        <v>0</v>
      </c>
    </row>
    <row r="97" spans="1:25" ht="15" x14ac:dyDescent="0.2">
      <c r="A97" s="276" t="s">
        <v>767</v>
      </c>
      <c r="B97" s="23" t="s">
        <v>334</v>
      </c>
      <c r="C97" s="23"/>
      <c r="D97" s="139">
        <f>VLOOKUP(C97,'Seznam HS - nemaš'!$A$1:$B$96,2,FALSE)</f>
        <v>0</v>
      </c>
      <c r="E97" s="22" t="s">
        <v>787</v>
      </c>
      <c r="F97" s="30" t="s">
        <v>53</v>
      </c>
      <c r="G97" s="30" t="s">
        <v>481</v>
      </c>
      <c r="H97" s="28">
        <f>+IF(ISBLANK(I97),0,VLOOKUP(I97,'8Příloha_2_ceník_pravid_úklid'!$B$9:$C$30,2,0))</f>
        <v>6</v>
      </c>
      <c r="I97" s="143" t="s">
        <v>1</v>
      </c>
      <c r="J97" s="245" t="s">
        <v>788</v>
      </c>
      <c r="K97" s="275" t="s">
        <v>50</v>
      </c>
      <c r="L97" s="156" t="s">
        <v>65</v>
      </c>
      <c r="M97" s="22" t="s">
        <v>771</v>
      </c>
      <c r="N97" s="24">
        <f>IF((VLOOKUP(I97,'8Příloha_2_ceník_pravid_úklid'!$B$9:$I$30,8,0))=0,VLOOKUP(I97,'8Příloha_2_ceník_pravid_úklid'!$B$9:$K$30,10,0),VLOOKUP(I97,'8Příloha_2_ceník_pravid_úklid'!$B$9:$I$30,8,0))</f>
        <v>0</v>
      </c>
      <c r="O97" s="20">
        <v>2</v>
      </c>
      <c r="P97" s="20">
        <v>1</v>
      </c>
      <c r="Q97" s="20">
        <v>0</v>
      </c>
      <c r="R97" s="20">
        <v>0</v>
      </c>
      <c r="S97" s="21">
        <f>NETWORKDAYS.INTL(DATE(2018,1,1),DATE(2018,12,31),1,{"2018/1/1";"2018/3/30";"2018/4/2";"2018/5/1";"2018/5/8";"2018/7/5";"2018/7/6";"2018/09/28";"2018/11/17";"2018/12/24";"2018/12/25";"2018/12/26"})</f>
        <v>250</v>
      </c>
      <c r="T97" s="21">
        <f t="shared" si="5"/>
        <v>115</v>
      </c>
      <c r="U97" s="21">
        <f t="shared" si="6"/>
        <v>365</v>
      </c>
      <c r="V97" s="311">
        <f t="shared" si="7"/>
        <v>500</v>
      </c>
      <c r="W97" s="140">
        <f t="shared" si="8"/>
        <v>0</v>
      </c>
      <c r="X97" s="141">
        <f t="shared" si="9"/>
        <v>0</v>
      </c>
      <c r="Y97" s="141">
        <v>0</v>
      </c>
    </row>
    <row r="98" spans="1:25" ht="15" x14ac:dyDescent="0.2">
      <c r="A98" s="353" t="s">
        <v>767</v>
      </c>
      <c r="B98" s="23" t="s">
        <v>334</v>
      </c>
      <c r="C98" s="23"/>
      <c r="D98" s="139">
        <f>VLOOKUP(C98,'Seznam HS - nemaš'!$A$1:$B$96,2,FALSE)</f>
        <v>0</v>
      </c>
      <c r="E98" s="22" t="s">
        <v>789</v>
      </c>
      <c r="F98" s="30" t="s">
        <v>350</v>
      </c>
      <c r="G98" s="30" t="s">
        <v>790</v>
      </c>
      <c r="H98" s="28">
        <f>+IF(ISBLANK(I98),0,VLOOKUP(I98,'8Příloha_2_ceník_pravid_úklid'!$B$9:$C$30,2,0))</f>
        <v>6</v>
      </c>
      <c r="I98" s="143" t="s">
        <v>1</v>
      </c>
      <c r="J98" s="245" t="s">
        <v>791</v>
      </c>
      <c r="K98" s="275" t="s">
        <v>50</v>
      </c>
      <c r="L98" s="156" t="s">
        <v>65</v>
      </c>
      <c r="M98" s="22" t="s">
        <v>771</v>
      </c>
      <c r="N98" s="24">
        <f>IF((VLOOKUP(I98,'8Příloha_2_ceník_pravid_úklid'!$B$9:$I$30,8,0))=0,VLOOKUP(I98,'8Příloha_2_ceník_pravid_úklid'!$B$9:$K$30,10,0),VLOOKUP(I98,'8Příloha_2_ceník_pravid_úklid'!$B$9:$I$30,8,0))</f>
        <v>0</v>
      </c>
      <c r="O98" s="20">
        <v>2</v>
      </c>
      <c r="P98" s="20">
        <v>1</v>
      </c>
      <c r="Q98" s="20">
        <v>0</v>
      </c>
      <c r="R98" s="20">
        <v>0</v>
      </c>
      <c r="S98" s="21">
        <f>NETWORKDAYS.INTL(DATE(2018,1,1),DATE(2018,12,31),1,{"2018/1/1";"2018/3/30";"2018/4/2";"2018/5/1";"2018/5/8";"2018/7/5";"2018/7/6";"2018/09/28";"2018/11/17";"2018/12/24";"2018/12/25";"2018/12/26"})</f>
        <v>250</v>
      </c>
      <c r="T98" s="21">
        <f t="shared" si="5"/>
        <v>115</v>
      </c>
      <c r="U98" s="21">
        <f t="shared" si="6"/>
        <v>365</v>
      </c>
      <c r="V98" s="311">
        <f t="shared" si="7"/>
        <v>500</v>
      </c>
      <c r="W98" s="140">
        <f t="shared" si="8"/>
        <v>0</v>
      </c>
      <c r="X98" s="141">
        <f t="shared" si="9"/>
        <v>0</v>
      </c>
      <c r="Y98" s="141">
        <v>0</v>
      </c>
    </row>
    <row r="99" spans="1:25" ht="15" x14ac:dyDescent="0.2">
      <c r="A99" s="276" t="s">
        <v>762</v>
      </c>
      <c r="B99" s="23" t="s">
        <v>334</v>
      </c>
      <c r="C99" s="23"/>
      <c r="D99" s="139">
        <f>VLOOKUP(C99,'Seznam HS - nemaš'!$A$1:$B$96,2,FALSE)</f>
        <v>0</v>
      </c>
      <c r="E99" s="22" t="s">
        <v>792</v>
      </c>
      <c r="F99" s="30" t="s">
        <v>766</v>
      </c>
      <c r="G99" s="30"/>
      <c r="H99" s="28">
        <f>+IF(ISBLANK(I99),0,VLOOKUP(I99,'8Příloha_2_ceník_pravid_úklid'!$B$9:$C$30,2,0))</f>
        <v>11</v>
      </c>
      <c r="I99" s="143" t="s">
        <v>7</v>
      </c>
      <c r="J99" s="245">
        <v>6.43</v>
      </c>
      <c r="K99" s="275" t="s">
        <v>651</v>
      </c>
      <c r="L99" s="156" t="s">
        <v>22</v>
      </c>
      <c r="M99" s="22" t="s">
        <v>49</v>
      </c>
      <c r="N99" s="24">
        <f>IF((VLOOKUP(I99,'8Příloha_2_ceník_pravid_úklid'!$B$9:$I$30,8,0))=0,VLOOKUP(I99,'8Příloha_2_ceník_pravid_úklid'!$B$9:$K$30,10,0),VLOOKUP(I99,'8Příloha_2_ceník_pravid_úklid'!$B$9:$I$30,8,0))</f>
        <v>0</v>
      </c>
      <c r="O99" s="20">
        <v>2</v>
      </c>
      <c r="P99" s="20">
        <v>1</v>
      </c>
      <c r="Q99" s="20">
        <v>2</v>
      </c>
      <c r="R99" s="20">
        <v>1</v>
      </c>
      <c r="S99" s="21">
        <f>NETWORKDAYS.INTL(DATE(2018,1,1),DATE(2018,12,31),1,{"2018/1/1";"2018/3/30";"2018/4/2";"2018/5/1";"2018/5/8";"2018/7/5";"2018/7/6";"2018/09/28";"2018/11/17";"2018/12/24";"2018/12/25";"2018/12/26"})</f>
        <v>250</v>
      </c>
      <c r="T99" s="21">
        <f t="shared" si="5"/>
        <v>115</v>
      </c>
      <c r="U99" s="21">
        <f t="shared" si="6"/>
        <v>365</v>
      </c>
      <c r="V99" s="311">
        <f t="shared" si="7"/>
        <v>730</v>
      </c>
      <c r="W99" s="140">
        <f t="shared" si="8"/>
        <v>0</v>
      </c>
      <c r="X99" s="141">
        <f t="shared" si="9"/>
        <v>0</v>
      </c>
      <c r="Y99" s="234">
        <v>0</v>
      </c>
    </row>
    <row r="100" spans="1:25" ht="15" x14ac:dyDescent="0.2">
      <c r="A100" s="276" t="s">
        <v>762</v>
      </c>
      <c r="B100" s="23" t="s">
        <v>334</v>
      </c>
      <c r="C100" s="23"/>
      <c r="D100" s="139">
        <f>VLOOKUP(C100,'Seznam HS - nemaš'!$A$1:$B$96,2,FALSE)</f>
        <v>0</v>
      </c>
      <c r="E100" s="22" t="s">
        <v>793</v>
      </c>
      <c r="F100" s="30" t="s">
        <v>766</v>
      </c>
      <c r="G100" s="30"/>
      <c r="H100" s="28">
        <f>+IF(ISBLANK(I100),0,VLOOKUP(I100,'8Příloha_2_ceník_pravid_úklid'!$B$9:$C$30,2,0))</f>
        <v>11</v>
      </c>
      <c r="I100" s="143" t="s">
        <v>7</v>
      </c>
      <c r="J100" s="245">
        <v>4.42</v>
      </c>
      <c r="K100" s="275" t="s">
        <v>651</v>
      </c>
      <c r="L100" s="156" t="s">
        <v>22</v>
      </c>
      <c r="M100" s="22" t="s">
        <v>49</v>
      </c>
      <c r="N100" s="24">
        <f>IF((VLOOKUP(I100,'8Příloha_2_ceník_pravid_úklid'!$B$9:$I$30,8,0))=0,VLOOKUP(I100,'8Příloha_2_ceník_pravid_úklid'!$B$9:$K$30,10,0),VLOOKUP(I100,'8Příloha_2_ceník_pravid_úklid'!$B$9:$I$30,8,0))</f>
        <v>0</v>
      </c>
      <c r="O100" s="20">
        <v>2</v>
      </c>
      <c r="P100" s="20">
        <v>1</v>
      </c>
      <c r="Q100" s="20">
        <v>2</v>
      </c>
      <c r="R100" s="20">
        <v>1</v>
      </c>
      <c r="S100" s="21">
        <f>NETWORKDAYS.INTL(DATE(2018,1,1),DATE(2018,12,31),1,{"2018/1/1";"2018/3/30";"2018/4/2";"2018/5/1";"2018/5/8";"2018/7/5";"2018/7/6";"2018/09/28";"2018/11/17";"2018/12/24";"2018/12/25";"2018/12/26"})</f>
        <v>250</v>
      </c>
      <c r="T100" s="21">
        <f t="shared" si="5"/>
        <v>115</v>
      </c>
      <c r="U100" s="21">
        <f t="shared" si="6"/>
        <v>365</v>
      </c>
      <c r="V100" s="311">
        <f t="shared" si="7"/>
        <v>730</v>
      </c>
      <c r="W100" s="140">
        <f t="shared" si="8"/>
        <v>0</v>
      </c>
      <c r="X100" s="141">
        <f t="shared" si="9"/>
        <v>0</v>
      </c>
      <c r="Y100" s="234">
        <v>0</v>
      </c>
    </row>
    <row r="101" spans="1:25" ht="15" x14ac:dyDescent="0.2">
      <c r="A101" s="235" t="s">
        <v>670</v>
      </c>
      <c r="B101" s="236" t="s">
        <v>334</v>
      </c>
      <c r="C101" s="236"/>
      <c r="D101" s="535">
        <f>VLOOKUP(C101,'Seznam HS - nemaš'!$A$1:$B$96,2,FALSE)</f>
        <v>0</v>
      </c>
      <c r="E101" s="237" t="s">
        <v>794</v>
      </c>
      <c r="F101" s="303" t="s">
        <v>505</v>
      </c>
      <c r="G101" s="303" t="s">
        <v>506</v>
      </c>
      <c r="H101" s="224">
        <f>+IF(ISBLANK(I101),0,VLOOKUP(I101,'8Příloha_2_ceník_pravid_úklid'!$B$9:$C$30,2,0))</f>
        <v>0</v>
      </c>
      <c r="I101" s="273"/>
      <c r="J101" s="239">
        <v>9.43</v>
      </c>
      <c r="K101" s="240"/>
      <c r="L101" s="242" t="s">
        <v>387</v>
      </c>
      <c r="M101" s="237"/>
      <c r="N101" s="229" t="s">
        <v>501</v>
      </c>
      <c r="O101" s="230">
        <v>0</v>
      </c>
      <c r="P101" s="230">
        <v>0</v>
      </c>
      <c r="Q101" s="230">
        <v>0</v>
      </c>
      <c r="R101" s="230">
        <v>0</v>
      </c>
      <c r="S101" s="231">
        <f>NETWORKDAYS.INTL(DATE(2018,1,1),DATE(2018,12,31),1,{"2018/1/1";"2018/3/30";"2018/4/2";"2018/5/1";"2018/5/8";"2018/7/5";"2018/7/6";"2018/09/28";"2018/11/17";"2018/12/24";"2018/12/25";"2018/12/26"})</f>
        <v>250</v>
      </c>
      <c r="T101" s="231">
        <f t="shared" si="5"/>
        <v>115</v>
      </c>
      <c r="U101" s="231">
        <f t="shared" si="6"/>
        <v>365</v>
      </c>
      <c r="V101" s="312">
        <f t="shared" si="7"/>
        <v>0</v>
      </c>
      <c r="W101" s="233">
        <f t="shared" si="8"/>
        <v>0</v>
      </c>
      <c r="X101" s="234">
        <f t="shared" si="9"/>
        <v>0</v>
      </c>
      <c r="Y101" s="234">
        <f t="shared" si="9"/>
        <v>0</v>
      </c>
    </row>
    <row r="102" spans="1:25" ht="15" x14ac:dyDescent="0.2">
      <c r="A102" s="355" t="s">
        <v>767</v>
      </c>
      <c r="B102" s="23" t="s">
        <v>334</v>
      </c>
      <c r="C102" s="23"/>
      <c r="D102" s="139">
        <f>VLOOKUP(C102,'Seznam HS - nemaš'!$A$1:$B$96,2,FALSE)</f>
        <v>0</v>
      </c>
      <c r="E102" s="22" t="s">
        <v>795</v>
      </c>
      <c r="F102" s="30" t="s">
        <v>53</v>
      </c>
      <c r="G102" s="30" t="s">
        <v>796</v>
      </c>
      <c r="H102" s="28">
        <f>+IF(ISBLANK(I102),0,VLOOKUP(I102,'8Příloha_2_ceník_pravid_úklid'!$B$9:$C$30,2,0))</f>
        <v>6</v>
      </c>
      <c r="I102" s="143" t="s">
        <v>1</v>
      </c>
      <c r="J102" s="245">
        <v>55.11</v>
      </c>
      <c r="K102" s="275" t="s">
        <v>50</v>
      </c>
      <c r="L102" s="156" t="s">
        <v>65</v>
      </c>
      <c r="M102" s="22" t="s">
        <v>771</v>
      </c>
      <c r="N102" s="24">
        <f>IF((VLOOKUP(I102,'8Příloha_2_ceník_pravid_úklid'!$B$9:$I$30,8,0))=0,VLOOKUP(I102,'8Příloha_2_ceník_pravid_úklid'!$B$9:$K$30,10,0),VLOOKUP(I102,'8Příloha_2_ceník_pravid_úklid'!$B$9:$I$30,8,0))</f>
        <v>0</v>
      </c>
      <c r="O102" s="20">
        <v>2</v>
      </c>
      <c r="P102" s="20">
        <v>1</v>
      </c>
      <c r="Q102" s="20">
        <v>0</v>
      </c>
      <c r="R102" s="20">
        <v>0</v>
      </c>
      <c r="S102" s="21">
        <f>NETWORKDAYS.INTL(DATE(2018,1,1),DATE(2018,12,31),1,{"2018/1/1";"2018/3/30";"2018/4/2";"2018/5/1";"2018/5/8";"2018/7/5";"2018/7/6";"2018/09/28";"2018/11/17";"2018/12/24";"2018/12/25";"2018/12/26"})</f>
        <v>250</v>
      </c>
      <c r="T102" s="21">
        <f t="shared" si="5"/>
        <v>115</v>
      </c>
      <c r="U102" s="21">
        <f t="shared" si="6"/>
        <v>365</v>
      </c>
      <c r="V102" s="311">
        <f t="shared" si="7"/>
        <v>500</v>
      </c>
      <c r="W102" s="140">
        <f t="shared" si="8"/>
        <v>0</v>
      </c>
      <c r="X102" s="141">
        <f t="shared" si="9"/>
        <v>0</v>
      </c>
      <c r="Y102" s="141">
        <v>0</v>
      </c>
    </row>
    <row r="103" spans="1:25" ht="15" x14ac:dyDescent="0.2">
      <c r="A103" s="356" t="s">
        <v>670</v>
      </c>
      <c r="B103" s="236" t="s">
        <v>334</v>
      </c>
      <c r="C103" s="236"/>
      <c r="D103" s="535">
        <f>VLOOKUP(C103,'Seznam HS - nemaš'!$A$1:$B$96,2,FALSE)</f>
        <v>0</v>
      </c>
      <c r="E103" s="237" t="s">
        <v>797</v>
      </c>
      <c r="F103" s="303" t="s">
        <v>798</v>
      </c>
      <c r="G103" s="303" t="s">
        <v>799</v>
      </c>
      <c r="H103" s="224">
        <f>+IF(ISBLANK(I103),0,VLOOKUP(I103,'8Příloha_2_ceník_pravid_úklid'!$B$9:$C$30,2,0))</f>
        <v>0</v>
      </c>
      <c r="I103" s="273"/>
      <c r="J103" s="239">
        <v>4.09</v>
      </c>
      <c r="K103" s="240"/>
      <c r="L103" s="242" t="s">
        <v>387</v>
      </c>
      <c r="M103" s="237"/>
      <c r="N103" s="229" t="s">
        <v>501</v>
      </c>
      <c r="O103" s="230">
        <v>0</v>
      </c>
      <c r="P103" s="230">
        <v>0</v>
      </c>
      <c r="Q103" s="230">
        <v>0</v>
      </c>
      <c r="R103" s="230">
        <v>0</v>
      </c>
      <c r="S103" s="231">
        <f>NETWORKDAYS.INTL(DATE(2018,1,1),DATE(2018,12,31),1,{"2018/1/1";"2018/3/30";"2018/4/2";"2018/5/1";"2018/5/8";"2018/7/5";"2018/7/6";"2018/09/28";"2018/11/17";"2018/12/24";"2018/12/25";"2018/12/26"})</f>
        <v>250</v>
      </c>
      <c r="T103" s="231">
        <f t="shared" si="5"/>
        <v>115</v>
      </c>
      <c r="U103" s="231">
        <f t="shared" si="6"/>
        <v>365</v>
      </c>
      <c r="V103" s="312">
        <f t="shared" si="7"/>
        <v>0</v>
      </c>
      <c r="W103" s="233">
        <f t="shared" si="8"/>
        <v>0</v>
      </c>
      <c r="X103" s="234">
        <f t="shared" si="9"/>
        <v>0</v>
      </c>
      <c r="Y103" s="234">
        <f t="shared" si="9"/>
        <v>0</v>
      </c>
    </row>
    <row r="104" spans="1:25" ht="15" x14ac:dyDescent="0.2">
      <c r="A104" s="356" t="s">
        <v>670</v>
      </c>
      <c r="B104" s="236" t="s">
        <v>334</v>
      </c>
      <c r="C104" s="236" t="s">
        <v>232</v>
      </c>
      <c r="D104" s="535" t="str">
        <f>VLOOKUP(C104,'Seznam HS - nemaš'!$A$1:$B$96,2,FALSE)</f>
        <v>462600</v>
      </c>
      <c r="E104" s="237" t="s">
        <v>800</v>
      </c>
      <c r="F104" s="303" t="s">
        <v>505</v>
      </c>
      <c r="G104" s="303" t="s">
        <v>663</v>
      </c>
      <c r="H104" s="224">
        <f>+IF(ISBLANK(I104),0,VLOOKUP(I104,'8Příloha_2_ceník_pravid_úklid'!$B$9:$C$30,2,0))</f>
        <v>0</v>
      </c>
      <c r="I104" s="273"/>
      <c r="J104" s="239">
        <v>41.56</v>
      </c>
      <c r="K104" s="240"/>
      <c r="L104" s="242" t="s">
        <v>387</v>
      </c>
      <c r="M104" s="237"/>
      <c r="N104" s="229" t="s">
        <v>501</v>
      </c>
      <c r="O104" s="230">
        <v>0</v>
      </c>
      <c r="P104" s="230">
        <v>0</v>
      </c>
      <c r="Q104" s="230">
        <v>0</v>
      </c>
      <c r="R104" s="230">
        <v>0</v>
      </c>
      <c r="S104" s="231">
        <f>NETWORKDAYS.INTL(DATE(2018,1,1),DATE(2018,12,31),1,{"2018/1/1";"2018/3/30";"2018/4/2";"2018/5/1";"2018/5/8";"2018/7/5";"2018/7/6";"2018/09/28";"2018/11/17";"2018/12/24";"2018/12/25";"2018/12/26"})</f>
        <v>250</v>
      </c>
      <c r="T104" s="231">
        <f t="shared" si="5"/>
        <v>115</v>
      </c>
      <c r="U104" s="231">
        <f t="shared" si="6"/>
        <v>365</v>
      </c>
      <c r="V104" s="312">
        <f t="shared" si="7"/>
        <v>0</v>
      </c>
      <c r="W104" s="233">
        <f t="shared" si="8"/>
        <v>0</v>
      </c>
      <c r="X104" s="234">
        <f t="shared" si="9"/>
        <v>0</v>
      </c>
      <c r="Y104" s="234">
        <f t="shared" si="9"/>
        <v>0</v>
      </c>
    </row>
    <row r="105" spans="1:25" ht="27.75" customHeight="1" x14ac:dyDescent="0.2">
      <c r="A105" s="357" t="s">
        <v>801</v>
      </c>
      <c r="B105" s="358" t="s">
        <v>334</v>
      </c>
      <c r="C105" s="358" t="s">
        <v>232</v>
      </c>
      <c r="D105" s="543" t="str">
        <f>VLOOKUP(C105,'Seznam HS - nemaš'!$A$1:$B$96,2,FALSE)</f>
        <v>462600</v>
      </c>
      <c r="E105" s="359"/>
      <c r="F105" s="360" t="s">
        <v>802</v>
      </c>
      <c r="G105" s="361" t="s">
        <v>803</v>
      </c>
      <c r="H105" s="544">
        <f>+IF(ISBLANK(I105),0,VLOOKUP(I105,'8Příloha_2_ceník_pravid_úklid'!$B$9:$C$30,2,0))</f>
        <v>5</v>
      </c>
      <c r="I105" s="362" t="s">
        <v>112</v>
      </c>
      <c r="J105" s="363">
        <f>2*8</f>
        <v>16</v>
      </c>
      <c r="K105" s="364"/>
      <c r="L105" s="365" t="s">
        <v>804</v>
      </c>
      <c r="M105" s="359"/>
      <c r="N105" s="366">
        <f>IF((VLOOKUP(I105,'8Příloha_2_ceník_pravid_úklid'!$B$9:$I$30,8,0))=0,VLOOKUP(I105,'8Příloha_2_ceník_pravid_úklid'!$B$9:$K$30,10,0),VLOOKUP(I105,'8Příloha_2_ceník_pravid_úklid'!$B$9:$I$30,8,0))</f>
        <v>0</v>
      </c>
      <c r="O105" s="365">
        <v>0</v>
      </c>
      <c r="P105" s="365">
        <v>0</v>
      </c>
      <c r="Q105" s="365">
        <v>1</v>
      </c>
      <c r="R105" s="367">
        <f>ROUND(1/9,2)</f>
        <v>0.11</v>
      </c>
      <c r="S105" s="368">
        <f>NETWORKDAYS.INTL(DATE(2018,1,1),DATE(2018,12,31),1,{"2018/1/1";"2018/3/30";"2018/4/2";"2018/5/1";"2018/5/8";"2018/7/5";"2018/7/6";"2018/09/28";"2018/11/17";"2018/12/24";"2018/12/25";"2018/12/26"})</f>
        <v>250</v>
      </c>
      <c r="T105" s="368">
        <f t="shared" si="5"/>
        <v>115</v>
      </c>
      <c r="U105" s="368">
        <f t="shared" si="6"/>
        <v>365</v>
      </c>
      <c r="V105" s="566">
        <f t="shared" si="7"/>
        <v>12.65</v>
      </c>
      <c r="W105" s="370">
        <f t="shared" si="8"/>
        <v>0</v>
      </c>
      <c r="X105" s="371">
        <f t="shared" si="9"/>
        <v>0</v>
      </c>
      <c r="Y105" s="573">
        <v>0</v>
      </c>
    </row>
    <row r="106" spans="1:25" ht="15" x14ac:dyDescent="0.2">
      <c r="A106" s="353" t="s">
        <v>801</v>
      </c>
      <c r="B106" s="23" t="s">
        <v>334</v>
      </c>
      <c r="C106" s="23" t="s">
        <v>232</v>
      </c>
      <c r="D106" s="139" t="str">
        <f>VLOOKUP(C106,'Seznam HS - nemaš'!$A$1:$B$96,2,FALSE)</f>
        <v>462600</v>
      </c>
      <c r="E106" s="22" t="s">
        <v>805</v>
      </c>
      <c r="F106" s="30" t="s">
        <v>477</v>
      </c>
      <c r="G106" s="30" t="s">
        <v>490</v>
      </c>
      <c r="H106" s="28">
        <f>+IF(ISBLANK(I106),0,VLOOKUP(I106,'8Příloha_2_ceník_pravid_úklid'!$B$9:$C$30,2,0))</f>
        <v>20</v>
      </c>
      <c r="I106" s="143" t="s">
        <v>111</v>
      </c>
      <c r="J106" s="245">
        <v>13.38</v>
      </c>
      <c r="K106" s="275" t="s">
        <v>50</v>
      </c>
      <c r="L106" s="156" t="s">
        <v>806</v>
      </c>
      <c r="M106" s="22" t="s">
        <v>49</v>
      </c>
      <c r="N106" s="24">
        <f>IF((VLOOKUP(I106,'8Příloha_2_ceník_pravid_úklid'!$B$9:$I$30,8,0))=0,VLOOKUP(I106,'8Příloha_2_ceník_pravid_úklid'!$B$9:$K$30,10,0),VLOOKUP(I106,'8Příloha_2_ceník_pravid_úklid'!$B$9:$I$30,8,0))</f>
        <v>0</v>
      </c>
      <c r="O106" s="20">
        <v>3</v>
      </c>
      <c r="P106" s="20">
        <v>1</v>
      </c>
      <c r="Q106" s="20">
        <v>0</v>
      </c>
      <c r="R106" s="20">
        <v>0</v>
      </c>
      <c r="S106" s="21">
        <f>NETWORKDAYS.INTL(DATE(2018,1,1),DATE(2018,12,31),1,{"2018/1/1";"2018/3/30";"2018/4/2";"2018/5/1";"2018/5/8";"2018/7/5";"2018/7/6";"2018/09/28";"2018/11/17";"2018/12/24";"2018/12/25";"2018/12/26"})</f>
        <v>250</v>
      </c>
      <c r="T106" s="21">
        <f t="shared" si="5"/>
        <v>115</v>
      </c>
      <c r="U106" s="21">
        <f t="shared" si="6"/>
        <v>365</v>
      </c>
      <c r="V106" s="311">
        <f t="shared" si="7"/>
        <v>750</v>
      </c>
      <c r="W106" s="140">
        <f t="shared" si="8"/>
        <v>0</v>
      </c>
      <c r="X106" s="141">
        <f t="shared" si="9"/>
        <v>0</v>
      </c>
      <c r="Y106" s="141">
        <v>0</v>
      </c>
    </row>
    <row r="107" spans="1:25" ht="15" x14ac:dyDescent="0.2">
      <c r="A107" s="353" t="s">
        <v>801</v>
      </c>
      <c r="B107" s="23" t="s">
        <v>334</v>
      </c>
      <c r="C107" s="23" t="s">
        <v>232</v>
      </c>
      <c r="D107" s="139" t="str">
        <f>VLOOKUP(C107,'Seznam HS - nemaš'!$A$1:$B$96,2,FALSE)</f>
        <v>462600</v>
      </c>
      <c r="E107" s="22" t="s">
        <v>807</v>
      </c>
      <c r="F107" s="30" t="s">
        <v>808</v>
      </c>
      <c r="G107" s="30"/>
      <c r="H107" s="28">
        <f>+IF(ISBLANK(I107),0,VLOOKUP(I107,'8Příloha_2_ceník_pravid_úklid'!$B$9:$C$30,2,0))</f>
        <v>20</v>
      </c>
      <c r="I107" s="143" t="s">
        <v>111</v>
      </c>
      <c r="J107" s="245">
        <v>11.07</v>
      </c>
      <c r="K107" s="275" t="s">
        <v>51</v>
      </c>
      <c r="L107" s="156" t="s">
        <v>806</v>
      </c>
      <c r="M107" s="22" t="s">
        <v>49</v>
      </c>
      <c r="N107" s="24">
        <f>IF((VLOOKUP(I107,'8Příloha_2_ceník_pravid_úklid'!$B$9:$I$30,8,0))=0,VLOOKUP(I107,'8Příloha_2_ceník_pravid_úklid'!$B$9:$K$30,10,0),VLOOKUP(I107,'8Příloha_2_ceník_pravid_úklid'!$B$9:$I$30,8,0))</f>
        <v>0</v>
      </c>
      <c r="O107" s="20">
        <v>3</v>
      </c>
      <c r="P107" s="20">
        <v>1</v>
      </c>
      <c r="Q107" s="20">
        <v>0</v>
      </c>
      <c r="R107" s="20">
        <v>0</v>
      </c>
      <c r="S107" s="21">
        <f>NETWORKDAYS.INTL(DATE(2018,1,1),DATE(2018,12,31),1,{"2018/1/1";"2018/3/30";"2018/4/2";"2018/5/1";"2018/5/8";"2018/7/5";"2018/7/6";"2018/09/28";"2018/11/17";"2018/12/24";"2018/12/25";"2018/12/26"})</f>
        <v>250</v>
      </c>
      <c r="T107" s="21">
        <f t="shared" si="5"/>
        <v>115</v>
      </c>
      <c r="U107" s="21">
        <f t="shared" si="6"/>
        <v>365</v>
      </c>
      <c r="V107" s="311">
        <f t="shared" si="7"/>
        <v>750</v>
      </c>
      <c r="W107" s="140">
        <f t="shared" si="8"/>
        <v>0</v>
      </c>
      <c r="X107" s="141">
        <f t="shared" si="9"/>
        <v>0</v>
      </c>
      <c r="Y107" s="141">
        <v>0</v>
      </c>
    </row>
    <row r="108" spans="1:25" ht="15" x14ac:dyDescent="0.2">
      <c r="A108" s="353" t="s">
        <v>801</v>
      </c>
      <c r="B108" s="23" t="s">
        <v>334</v>
      </c>
      <c r="C108" s="23" t="s">
        <v>232</v>
      </c>
      <c r="D108" s="139" t="str">
        <f>VLOOKUP(C108,'Seznam HS - nemaš'!$A$1:$B$96,2,FALSE)</f>
        <v>462600</v>
      </c>
      <c r="E108" s="22" t="s">
        <v>809</v>
      </c>
      <c r="F108" s="30" t="s">
        <v>477</v>
      </c>
      <c r="G108" s="30" t="s">
        <v>810</v>
      </c>
      <c r="H108" s="28">
        <f>+IF(ISBLANK(I108),0,VLOOKUP(I108,'8Příloha_2_ceník_pravid_úklid'!$B$9:$C$30,2,0))</f>
        <v>20</v>
      </c>
      <c r="I108" s="143" t="s">
        <v>111</v>
      </c>
      <c r="J108" s="245">
        <v>12.85</v>
      </c>
      <c r="K108" s="275" t="s">
        <v>50</v>
      </c>
      <c r="L108" s="156" t="s">
        <v>806</v>
      </c>
      <c r="M108" s="22" t="s">
        <v>49</v>
      </c>
      <c r="N108" s="24">
        <f>IF((VLOOKUP(I108,'8Příloha_2_ceník_pravid_úklid'!$B$9:$I$30,8,0))=0,VLOOKUP(I108,'8Příloha_2_ceník_pravid_úklid'!$B$9:$K$30,10,0),VLOOKUP(I108,'8Příloha_2_ceník_pravid_úklid'!$B$9:$I$30,8,0))</f>
        <v>0</v>
      </c>
      <c r="O108" s="20">
        <v>3</v>
      </c>
      <c r="P108" s="20">
        <v>1</v>
      </c>
      <c r="Q108" s="20">
        <v>0</v>
      </c>
      <c r="R108" s="20">
        <v>0</v>
      </c>
      <c r="S108" s="21">
        <f>NETWORKDAYS.INTL(DATE(2018,1,1),DATE(2018,12,31),1,{"2018/1/1";"2018/3/30";"2018/4/2";"2018/5/1";"2018/5/8";"2018/7/5";"2018/7/6";"2018/09/28";"2018/11/17";"2018/12/24";"2018/12/25";"2018/12/26"})</f>
        <v>250</v>
      </c>
      <c r="T108" s="21">
        <f t="shared" si="5"/>
        <v>115</v>
      </c>
      <c r="U108" s="21">
        <f t="shared" si="6"/>
        <v>365</v>
      </c>
      <c r="V108" s="311">
        <f t="shared" si="7"/>
        <v>750</v>
      </c>
      <c r="W108" s="140">
        <f t="shared" si="8"/>
        <v>0</v>
      </c>
      <c r="X108" s="141">
        <f t="shared" si="9"/>
        <v>0</v>
      </c>
      <c r="Y108" s="141">
        <v>0</v>
      </c>
    </row>
    <row r="109" spans="1:25" ht="15" x14ac:dyDescent="0.2">
      <c r="A109" s="353" t="s">
        <v>801</v>
      </c>
      <c r="B109" s="23" t="s">
        <v>334</v>
      </c>
      <c r="C109" s="23" t="s">
        <v>232</v>
      </c>
      <c r="D109" s="139" t="str">
        <f>VLOOKUP(C109,'Seznam HS - nemaš'!$A$1:$B$96,2,FALSE)</f>
        <v>462600</v>
      </c>
      <c r="E109" s="22" t="s">
        <v>811</v>
      </c>
      <c r="F109" s="30" t="s">
        <v>812</v>
      </c>
      <c r="G109" s="30" t="s">
        <v>389</v>
      </c>
      <c r="H109" s="28">
        <f>+IF(ISBLANK(I109),0,VLOOKUP(I109,'8Příloha_2_ceník_pravid_úklid'!$B$9:$C$30,2,0))</f>
        <v>20</v>
      </c>
      <c r="I109" s="143" t="s">
        <v>111</v>
      </c>
      <c r="J109" s="245">
        <v>5.96</v>
      </c>
      <c r="K109" s="275" t="s">
        <v>50</v>
      </c>
      <c r="L109" s="156" t="s">
        <v>806</v>
      </c>
      <c r="M109" s="22" t="s">
        <v>49</v>
      </c>
      <c r="N109" s="24">
        <f>IF((VLOOKUP(I109,'8Příloha_2_ceník_pravid_úklid'!$B$9:$I$30,8,0))=0,VLOOKUP(I109,'8Příloha_2_ceník_pravid_úklid'!$B$9:$K$30,10,0),VLOOKUP(I109,'8Příloha_2_ceník_pravid_úklid'!$B$9:$I$30,8,0))</f>
        <v>0</v>
      </c>
      <c r="O109" s="20">
        <v>3</v>
      </c>
      <c r="P109" s="20">
        <v>1</v>
      </c>
      <c r="Q109" s="20">
        <v>0</v>
      </c>
      <c r="R109" s="20">
        <v>0</v>
      </c>
      <c r="S109" s="21">
        <f>NETWORKDAYS.INTL(DATE(2018,1,1),DATE(2018,12,31),1,{"2018/1/1";"2018/3/30";"2018/4/2";"2018/5/1";"2018/5/8";"2018/7/5";"2018/7/6";"2018/09/28";"2018/11/17";"2018/12/24";"2018/12/25";"2018/12/26"})</f>
        <v>250</v>
      </c>
      <c r="T109" s="21">
        <f t="shared" si="5"/>
        <v>115</v>
      </c>
      <c r="U109" s="21">
        <f t="shared" si="6"/>
        <v>365</v>
      </c>
      <c r="V109" s="311">
        <f t="shared" si="7"/>
        <v>750</v>
      </c>
      <c r="W109" s="140">
        <f t="shared" si="8"/>
        <v>0</v>
      </c>
      <c r="X109" s="141">
        <f t="shared" si="9"/>
        <v>0</v>
      </c>
      <c r="Y109" s="141">
        <v>0</v>
      </c>
    </row>
    <row r="110" spans="1:25" ht="15" x14ac:dyDescent="0.2">
      <c r="A110" s="354" t="s">
        <v>801</v>
      </c>
      <c r="B110" s="236" t="s">
        <v>334</v>
      </c>
      <c r="C110" s="236" t="s">
        <v>232</v>
      </c>
      <c r="D110" s="535" t="str">
        <f>VLOOKUP(C110,'Seznam HS - nemaš'!$A$1:$B$96,2,FALSE)</f>
        <v>462600</v>
      </c>
      <c r="E110" s="237" t="s">
        <v>813</v>
      </c>
      <c r="F110" s="303" t="s">
        <v>554</v>
      </c>
      <c r="G110" s="303" t="s">
        <v>389</v>
      </c>
      <c r="H110" s="224">
        <f>+IF(ISBLANK(I110),0,VLOOKUP(I110,'8Příloha_2_ceník_pravid_úklid'!$B$9:$C$30,2,0))</f>
        <v>20</v>
      </c>
      <c r="I110" s="273" t="s">
        <v>111</v>
      </c>
      <c r="J110" s="239">
        <v>3.31</v>
      </c>
      <c r="K110" s="240" t="s">
        <v>50</v>
      </c>
      <c r="L110" s="310" t="s">
        <v>66</v>
      </c>
      <c r="M110" s="237" t="s">
        <v>49</v>
      </c>
      <c r="N110" s="229" t="s">
        <v>501</v>
      </c>
      <c r="O110" s="230">
        <v>0</v>
      </c>
      <c r="P110" s="230">
        <v>0</v>
      </c>
      <c r="Q110" s="230">
        <v>0</v>
      </c>
      <c r="R110" s="230">
        <v>0</v>
      </c>
      <c r="S110" s="231">
        <f>NETWORKDAYS.INTL(DATE(2018,1,1),DATE(2018,12,31),1,{"2018/1/1";"2018/3/30";"2018/4/2";"2018/5/1";"2018/5/8";"2018/7/5";"2018/7/6";"2018/09/28";"2018/11/17";"2018/12/24";"2018/12/25";"2018/12/26"})</f>
        <v>250</v>
      </c>
      <c r="T110" s="231">
        <f t="shared" si="5"/>
        <v>115</v>
      </c>
      <c r="U110" s="231">
        <f t="shared" si="6"/>
        <v>365</v>
      </c>
      <c r="V110" s="312">
        <f t="shared" si="7"/>
        <v>0</v>
      </c>
      <c r="W110" s="233">
        <f t="shared" si="8"/>
        <v>0</v>
      </c>
      <c r="X110" s="234">
        <f t="shared" si="9"/>
        <v>0</v>
      </c>
      <c r="Y110" s="234">
        <f t="shared" si="9"/>
        <v>0</v>
      </c>
    </row>
    <row r="111" spans="1:25" ht="15" x14ac:dyDescent="0.2">
      <c r="A111" s="353" t="s">
        <v>801</v>
      </c>
      <c r="B111" s="23" t="s">
        <v>334</v>
      </c>
      <c r="C111" s="23" t="s">
        <v>232</v>
      </c>
      <c r="D111" s="139" t="str">
        <f>VLOOKUP(C111,'Seznam HS - nemaš'!$A$1:$B$96,2,FALSE)</f>
        <v>462600</v>
      </c>
      <c r="E111" s="22" t="s">
        <v>814</v>
      </c>
      <c r="F111" s="30" t="s">
        <v>815</v>
      </c>
      <c r="G111" s="30"/>
      <c r="H111" s="28">
        <f>+IF(ISBLANK(I111),0,VLOOKUP(I111,'8Příloha_2_ceník_pravid_úklid'!$B$9:$C$30,2,0))</f>
        <v>20</v>
      </c>
      <c r="I111" s="143" t="s">
        <v>111</v>
      </c>
      <c r="J111" s="245">
        <v>31.42</v>
      </c>
      <c r="K111" s="275" t="s">
        <v>50</v>
      </c>
      <c r="L111" s="156" t="s">
        <v>806</v>
      </c>
      <c r="M111" s="22" t="s">
        <v>49</v>
      </c>
      <c r="N111" s="24">
        <f>IF((VLOOKUP(I111,'8Příloha_2_ceník_pravid_úklid'!$B$9:$I$30,8,0))=0,VLOOKUP(I111,'8Příloha_2_ceník_pravid_úklid'!$B$9:$K$30,10,0),VLOOKUP(I111,'8Příloha_2_ceník_pravid_úklid'!$B$9:$I$30,8,0))</f>
        <v>0</v>
      </c>
      <c r="O111" s="20">
        <v>3</v>
      </c>
      <c r="P111" s="20">
        <v>1</v>
      </c>
      <c r="Q111" s="20">
        <v>0</v>
      </c>
      <c r="R111" s="20">
        <v>0</v>
      </c>
      <c r="S111" s="21">
        <f>NETWORKDAYS.INTL(DATE(2018,1,1),DATE(2018,12,31),1,{"2018/1/1";"2018/3/30";"2018/4/2";"2018/5/1";"2018/5/8";"2018/7/5";"2018/7/6";"2018/09/28";"2018/11/17";"2018/12/24";"2018/12/25";"2018/12/26"})</f>
        <v>250</v>
      </c>
      <c r="T111" s="21">
        <f t="shared" si="5"/>
        <v>115</v>
      </c>
      <c r="U111" s="21">
        <f t="shared" si="6"/>
        <v>365</v>
      </c>
      <c r="V111" s="311">
        <f t="shared" si="7"/>
        <v>750</v>
      </c>
      <c r="W111" s="140">
        <f t="shared" si="8"/>
        <v>0</v>
      </c>
      <c r="X111" s="141">
        <f t="shared" si="9"/>
        <v>0</v>
      </c>
      <c r="Y111" s="141">
        <v>0</v>
      </c>
    </row>
    <row r="112" spans="1:25" ht="15" x14ac:dyDescent="0.2">
      <c r="A112" s="353" t="s">
        <v>801</v>
      </c>
      <c r="B112" s="23" t="s">
        <v>334</v>
      </c>
      <c r="C112" s="23" t="s">
        <v>232</v>
      </c>
      <c r="D112" s="139" t="str">
        <f>VLOOKUP(C112,'Seznam HS - nemaš'!$A$1:$B$96,2,FALSE)</f>
        <v>462600</v>
      </c>
      <c r="E112" s="22" t="s">
        <v>816</v>
      </c>
      <c r="F112" s="30" t="s">
        <v>801</v>
      </c>
      <c r="G112" s="30" t="s">
        <v>817</v>
      </c>
      <c r="H112" s="28">
        <f>+IF(ISBLANK(I112),0,VLOOKUP(I112,'8Příloha_2_ceník_pravid_úklid'!$B$9:$C$30,2,0))</f>
        <v>20</v>
      </c>
      <c r="I112" s="143" t="s">
        <v>111</v>
      </c>
      <c r="J112" s="245">
        <v>30.29</v>
      </c>
      <c r="K112" s="275" t="s">
        <v>50</v>
      </c>
      <c r="L112" s="156" t="s">
        <v>806</v>
      </c>
      <c r="M112" s="22" t="s">
        <v>49</v>
      </c>
      <c r="N112" s="24">
        <f>IF((VLOOKUP(I112,'8Příloha_2_ceník_pravid_úklid'!$B$9:$I$30,8,0))=0,VLOOKUP(I112,'8Příloha_2_ceník_pravid_úklid'!$B$9:$K$30,10,0),VLOOKUP(I112,'8Příloha_2_ceník_pravid_úklid'!$B$9:$I$30,8,0))</f>
        <v>0</v>
      </c>
      <c r="O112" s="20">
        <v>3</v>
      </c>
      <c r="P112" s="20">
        <v>1</v>
      </c>
      <c r="Q112" s="20">
        <v>0</v>
      </c>
      <c r="R112" s="20">
        <v>0</v>
      </c>
      <c r="S112" s="21">
        <f>NETWORKDAYS.INTL(DATE(2018,1,1),DATE(2018,12,31),1,{"2018/1/1";"2018/3/30";"2018/4/2";"2018/5/1";"2018/5/8";"2018/7/5";"2018/7/6";"2018/09/28";"2018/11/17";"2018/12/24";"2018/12/25";"2018/12/26"})</f>
        <v>250</v>
      </c>
      <c r="T112" s="21">
        <f t="shared" si="5"/>
        <v>115</v>
      </c>
      <c r="U112" s="21">
        <f t="shared" si="6"/>
        <v>365</v>
      </c>
      <c r="V112" s="311">
        <f t="shared" si="7"/>
        <v>750</v>
      </c>
      <c r="W112" s="140">
        <f t="shared" si="8"/>
        <v>0</v>
      </c>
      <c r="X112" s="141">
        <f t="shared" si="9"/>
        <v>0</v>
      </c>
      <c r="Y112" s="141">
        <v>0</v>
      </c>
    </row>
    <row r="113" spans="1:25" ht="15" x14ac:dyDescent="0.2">
      <c r="A113" s="353" t="s">
        <v>801</v>
      </c>
      <c r="B113" s="23" t="s">
        <v>334</v>
      </c>
      <c r="C113" s="23" t="s">
        <v>232</v>
      </c>
      <c r="D113" s="139" t="str">
        <f>VLOOKUP(C113,'Seznam HS - nemaš'!$A$1:$B$96,2,FALSE)</f>
        <v>462600</v>
      </c>
      <c r="E113" s="22" t="s">
        <v>818</v>
      </c>
      <c r="F113" s="30" t="s">
        <v>53</v>
      </c>
      <c r="G113" s="30" t="s">
        <v>819</v>
      </c>
      <c r="H113" s="28">
        <f>+IF(ISBLANK(I113),0,VLOOKUP(I113,'8Příloha_2_ceník_pravid_úklid'!$B$9:$C$30,2,0))</f>
        <v>20</v>
      </c>
      <c r="I113" s="143" t="s">
        <v>111</v>
      </c>
      <c r="J113" s="245">
        <v>9.4700000000000006</v>
      </c>
      <c r="K113" s="275" t="s">
        <v>50</v>
      </c>
      <c r="L113" s="156" t="s">
        <v>806</v>
      </c>
      <c r="M113" s="22" t="s">
        <v>49</v>
      </c>
      <c r="N113" s="24">
        <f>IF((VLOOKUP(I113,'8Příloha_2_ceník_pravid_úklid'!$B$9:$I$30,8,0))=0,VLOOKUP(I113,'8Příloha_2_ceník_pravid_úklid'!$B$9:$K$30,10,0),VLOOKUP(I113,'8Příloha_2_ceník_pravid_úklid'!$B$9:$I$30,8,0))</f>
        <v>0</v>
      </c>
      <c r="O113" s="20">
        <v>3</v>
      </c>
      <c r="P113" s="20">
        <v>1</v>
      </c>
      <c r="Q113" s="20">
        <v>0</v>
      </c>
      <c r="R113" s="20">
        <v>0</v>
      </c>
      <c r="S113" s="21">
        <f>NETWORKDAYS.INTL(DATE(2018,1,1),DATE(2018,12,31),1,{"2018/1/1";"2018/3/30";"2018/4/2";"2018/5/1";"2018/5/8";"2018/7/5";"2018/7/6";"2018/09/28";"2018/11/17";"2018/12/24";"2018/12/25";"2018/12/26"})</f>
        <v>250</v>
      </c>
      <c r="T113" s="21">
        <f t="shared" si="5"/>
        <v>115</v>
      </c>
      <c r="U113" s="21">
        <f t="shared" si="6"/>
        <v>365</v>
      </c>
      <c r="V113" s="311">
        <f t="shared" si="7"/>
        <v>750</v>
      </c>
      <c r="W113" s="140">
        <f t="shared" si="8"/>
        <v>0</v>
      </c>
      <c r="X113" s="141">
        <f t="shared" si="9"/>
        <v>0</v>
      </c>
      <c r="Y113" s="141">
        <v>0</v>
      </c>
    </row>
    <row r="114" spans="1:25" ht="15" x14ac:dyDescent="0.2">
      <c r="A114" s="353" t="s">
        <v>801</v>
      </c>
      <c r="B114" s="23" t="s">
        <v>334</v>
      </c>
      <c r="C114" s="23" t="s">
        <v>232</v>
      </c>
      <c r="D114" s="139" t="str">
        <f>VLOOKUP(C114,'Seznam HS - nemaš'!$A$1:$B$96,2,FALSE)</f>
        <v>462600</v>
      </c>
      <c r="E114" s="22" t="s">
        <v>820</v>
      </c>
      <c r="F114" s="30" t="s">
        <v>389</v>
      </c>
      <c r="G114" s="30" t="s">
        <v>821</v>
      </c>
      <c r="H114" s="28">
        <f>+IF(ISBLANK(I114),0,VLOOKUP(I114,'8Příloha_2_ceník_pravid_úklid'!$B$9:$C$30,2,0))</f>
        <v>20</v>
      </c>
      <c r="I114" s="143" t="s">
        <v>111</v>
      </c>
      <c r="J114" s="245">
        <v>15.77</v>
      </c>
      <c r="K114" s="275" t="s">
        <v>50</v>
      </c>
      <c r="L114" s="156" t="s">
        <v>806</v>
      </c>
      <c r="M114" s="22" t="s">
        <v>49</v>
      </c>
      <c r="N114" s="24">
        <f>IF((VLOOKUP(I114,'8Příloha_2_ceník_pravid_úklid'!$B$9:$I$30,8,0))=0,VLOOKUP(I114,'8Příloha_2_ceník_pravid_úklid'!$B$9:$K$30,10,0),VLOOKUP(I114,'8Příloha_2_ceník_pravid_úklid'!$B$9:$I$30,8,0))</f>
        <v>0</v>
      </c>
      <c r="O114" s="20">
        <v>3</v>
      </c>
      <c r="P114" s="20">
        <v>1</v>
      </c>
      <c r="Q114" s="20">
        <v>0</v>
      </c>
      <c r="R114" s="20">
        <v>0</v>
      </c>
      <c r="S114" s="21">
        <f>NETWORKDAYS.INTL(DATE(2018,1,1),DATE(2018,12,31),1,{"2018/1/1";"2018/3/30";"2018/4/2";"2018/5/1";"2018/5/8";"2018/7/5";"2018/7/6";"2018/09/28";"2018/11/17";"2018/12/24";"2018/12/25";"2018/12/26"})</f>
        <v>250</v>
      </c>
      <c r="T114" s="21">
        <f t="shared" si="5"/>
        <v>115</v>
      </c>
      <c r="U114" s="21">
        <f t="shared" si="6"/>
        <v>365</v>
      </c>
      <c r="V114" s="311">
        <f t="shared" si="7"/>
        <v>750</v>
      </c>
      <c r="W114" s="140">
        <f t="shared" si="8"/>
        <v>0</v>
      </c>
      <c r="X114" s="141">
        <f t="shared" si="9"/>
        <v>0</v>
      </c>
      <c r="Y114" s="141">
        <v>0</v>
      </c>
    </row>
    <row r="115" spans="1:25" ht="15" x14ac:dyDescent="0.2">
      <c r="A115" s="353" t="s">
        <v>801</v>
      </c>
      <c r="B115" s="23" t="s">
        <v>334</v>
      </c>
      <c r="C115" s="23" t="s">
        <v>232</v>
      </c>
      <c r="D115" s="139" t="str">
        <f>VLOOKUP(C115,'Seznam HS - nemaš'!$A$1:$B$96,2,FALSE)</f>
        <v>462600</v>
      </c>
      <c r="E115" s="22" t="s">
        <v>822</v>
      </c>
      <c r="F115" s="30" t="s">
        <v>492</v>
      </c>
      <c r="G115" s="30"/>
      <c r="H115" s="28">
        <f>+IF(ISBLANK(I115),0,VLOOKUP(I115,'8Příloha_2_ceník_pravid_úklid'!$B$9:$C$30,2,0))</f>
        <v>20</v>
      </c>
      <c r="I115" s="143" t="s">
        <v>111</v>
      </c>
      <c r="J115" s="245">
        <v>9.9499999999999993</v>
      </c>
      <c r="K115" s="275" t="s">
        <v>51</v>
      </c>
      <c r="L115" s="156" t="s">
        <v>806</v>
      </c>
      <c r="M115" s="22" t="s">
        <v>49</v>
      </c>
      <c r="N115" s="24">
        <f>IF((VLOOKUP(I115,'8Příloha_2_ceník_pravid_úklid'!$B$9:$I$30,8,0))=0,VLOOKUP(I115,'8Příloha_2_ceník_pravid_úklid'!$B$9:$K$30,10,0),VLOOKUP(I115,'8Příloha_2_ceník_pravid_úklid'!$B$9:$I$30,8,0))</f>
        <v>0</v>
      </c>
      <c r="O115" s="20">
        <v>3</v>
      </c>
      <c r="P115" s="20">
        <v>1</v>
      </c>
      <c r="Q115" s="20">
        <v>0</v>
      </c>
      <c r="R115" s="20">
        <v>0</v>
      </c>
      <c r="S115" s="21">
        <f>NETWORKDAYS.INTL(DATE(2018,1,1),DATE(2018,12,31),1,{"2018/1/1";"2018/3/30";"2018/4/2";"2018/5/1";"2018/5/8";"2018/7/5";"2018/7/6";"2018/09/28";"2018/11/17";"2018/12/24";"2018/12/25";"2018/12/26"})</f>
        <v>250</v>
      </c>
      <c r="T115" s="21">
        <f t="shared" si="5"/>
        <v>115</v>
      </c>
      <c r="U115" s="21">
        <f t="shared" si="6"/>
        <v>365</v>
      </c>
      <c r="V115" s="311">
        <f t="shared" si="7"/>
        <v>750</v>
      </c>
      <c r="W115" s="140">
        <f t="shared" si="8"/>
        <v>0</v>
      </c>
      <c r="X115" s="141">
        <f t="shared" si="9"/>
        <v>0</v>
      </c>
      <c r="Y115" s="141">
        <v>0</v>
      </c>
    </row>
    <row r="116" spans="1:25" ht="15" x14ac:dyDescent="0.2">
      <c r="A116" s="353" t="s">
        <v>801</v>
      </c>
      <c r="B116" s="23" t="s">
        <v>334</v>
      </c>
      <c r="C116" s="23" t="s">
        <v>232</v>
      </c>
      <c r="D116" s="139" t="str">
        <f>VLOOKUP(C116,'Seznam HS - nemaš'!$A$1:$B$96,2,FALSE)</f>
        <v>462600</v>
      </c>
      <c r="E116" s="22" t="s">
        <v>823</v>
      </c>
      <c r="F116" s="30" t="s">
        <v>824</v>
      </c>
      <c r="G116" s="30"/>
      <c r="H116" s="28">
        <f>+IF(ISBLANK(I116),0,VLOOKUP(I116,'8Příloha_2_ceník_pravid_úklid'!$B$9:$C$30,2,0))</f>
        <v>20</v>
      </c>
      <c r="I116" s="143" t="s">
        <v>111</v>
      </c>
      <c r="J116" s="245">
        <v>7.75</v>
      </c>
      <c r="K116" s="275" t="s">
        <v>51</v>
      </c>
      <c r="L116" s="156" t="s">
        <v>806</v>
      </c>
      <c r="M116" s="22" t="s">
        <v>49</v>
      </c>
      <c r="N116" s="24">
        <f>IF((VLOOKUP(I116,'8Příloha_2_ceník_pravid_úklid'!$B$9:$I$30,8,0))=0,VLOOKUP(I116,'8Příloha_2_ceník_pravid_úklid'!$B$9:$K$30,10,0),VLOOKUP(I116,'8Příloha_2_ceník_pravid_úklid'!$B$9:$I$30,8,0))</f>
        <v>0</v>
      </c>
      <c r="O116" s="20">
        <v>3</v>
      </c>
      <c r="P116" s="20">
        <v>1</v>
      </c>
      <c r="Q116" s="20">
        <v>0</v>
      </c>
      <c r="R116" s="20">
        <v>0</v>
      </c>
      <c r="S116" s="21">
        <f>NETWORKDAYS.INTL(DATE(2018,1,1),DATE(2018,12,31),1,{"2018/1/1";"2018/3/30";"2018/4/2";"2018/5/1";"2018/5/8";"2018/7/5";"2018/7/6";"2018/09/28";"2018/11/17";"2018/12/24";"2018/12/25";"2018/12/26"})</f>
        <v>250</v>
      </c>
      <c r="T116" s="21">
        <f t="shared" si="5"/>
        <v>115</v>
      </c>
      <c r="U116" s="21">
        <f t="shared" si="6"/>
        <v>365</v>
      </c>
      <c r="V116" s="311">
        <f t="shared" si="7"/>
        <v>750</v>
      </c>
      <c r="W116" s="140">
        <f t="shared" si="8"/>
        <v>0</v>
      </c>
      <c r="X116" s="141">
        <f t="shared" si="9"/>
        <v>0</v>
      </c>
      <c r="Y116" s="141">
        <v>0</v>
      </c>
    </row>
    <row r="117" spans="1:25" ht="15" x14ac:dyDescent="0.2">
      <c r="A117" s="353" t="s">
        <v>801</v>
      </c>
      <c r="B117" s="23" t="s">
        <v>334</v>
      </c>
      <c r="C117" s="23" t="s">
        <v>232</v>
      </c>
      <c r="D117" s="139" t="str">
        <f>VLOOKUP(C117,'Seznam HS - nemaš'!$A$1:$B$96,2,FALSE)</f>
        <v>462600</v>
      </c>
      <c r="E117" s="22" t="s">
        <v>825</v>
      </c>
      <c r="F117" s="30" t="s">
        <v>494</v>
      </c>
      <c r="G117" s="30"/>
      <c r="H117" s="28">
        <f>+IF(ISBLANK(I117),0,VLOOKUP(I117,'8Příloha_2_ceník_pravid_úklid'!$B$9:$C$30,2,0))</f>
        <v>20</v>
      </c>
      <c r="I117" s="143" t="s">
        <v>111</v>
      </c>
      <c r="J117" s="245">
        <v>6.37</v>
      </c>
      <c r="K117" s="275" t="s">
        <v>51</v>
      </c>
      <c r="L117" s="156" t="s">
        <v>806</v>
      </c>
      <c r="M117" s="22" t="s">
        <v>49</v>
      </c>
      <c r="N117" s="24">
        <f>IF((VLOOKUP(I117,'8Příloha_2_ceník_pravid_úklid'!$B$9:$I$30,8,0))=0,VLOOKUP(I117,'8Příloha_2_ceník_pravid_úklid'!$B$9:$K$30,10,0),VLOOKUP(I117,'8Příloha_2_ceník_pravid_úklid'!$B$9:$I$30,8,0))</f>
        <v>0</v>
      </c>
      <c r="O117" s="20">
        <v>3</v>
      </c>
      <c r="P117" s="20">
        <v>1</v>
      </c>
      <c r="Q117" s="20">
        <v>0</v>
      </c>
      <c r="R117" s="20">
        <v>0</v>
      </c>
      <c r="S117" s="21">
        <f>NETWORKDAYS.INTL(DATE(2018,1,1),DATE(2018,12,31),1,{"2018/1/1";"2018/3/30";"2018/4/2";"2018/5/1";"2018/5/8";"2018/7/5";"2018/7/6";"2018/09/28";"2018/11/17";"2018/12/24";"2018/12/25";"2018/12/26"})</f>
        <v>250</v>
      </c>
      <c r="T117" s="21">
        <f t="shared" si="5"/>
        <v>115</v>
      </c>
      <c r="U117" s="21">
        <f t="shared" si="6"/>
        <v>365</v>
      </c>
      <c r="V117" s="311">
        <f t="shared" si="7"/>
        <v>750</v>
      </c>
      <c r="W117" s="140">
        <f t="shared" si="8"/>
        <v>0</v>
      </c>
      <c r="X117" s="141">
        <f t="shared" si="9"/>
        <v>0</v>
      </c>
      <c r="Y117" s="141">
        <v>0</v>
      </c>
    </row>
    <row r="118" spans="1:25" ht="15" x14ac:dyDescent="0.2">
      <c r="A118" s="353" t="s">
        <v>801</v>
      </c>
      <c r="B118" s="23" t="s">
        <v>334</v>
      </c>
      <c r="C118" s="23" t="s">
        <v>232</v>
      </c>
      <c r="D118" s="139" t="str">
        <f>VLOOKUP(C118,'Seznam HS - nemaš'!$A$1:$B$96,2,FALSE)</f>
        <v>462600</v>
      </c>
      <c r="E118" s="22" t="s">
        <v>826</v>
      </c>
      <c r="F118" s="30" t="s">
        <v>420</v>
      </c>
      <c r="G118" s="30"/>
      <c r="H118" s="28">
        <f>+IF(ISBLANK(I118),0,VLOOKUP(I118,'8Příloha_2_ceník_pravid_úklid'!$B$9:$C$30,2,0))</f>
        <v>20</v>
      </c>
      <c r="I118" s="143" t="s">
        <v>111</v>
      </c>
      <c r="J118" s="245">
        <v>1.94</v>
      </c>
      <c r="K118" s="275" t="s">
        <v>50</v>
      </c>
      <c r="L118" s="156" t="s">
        <v>806</v>
      </c>
      <c r="M118" s="22" t="s">
        <v>49</v>
      </c>
      <c r="N118" s="24">
        <f>IF((VLOOKUP(I118,'8Příloha_2_ceník_pravid_úklid'!$B$9:$I$30,8,0))=0,VLOOKUP(I118,'8Příloha_2_ceník_pravid_úklid'!$B$9:$K$30,10,0),VLOOKUP(I118,'8Příloha_2_ceník_pravid_úklid'!$B$9:$I$30,8,0))</f>
        <v>0</v>
      </c>
      <c r="O118" s="20">
        <v>3</v>
      </c>
      <c r="P118" s="20">
        <v>1</v>
      </c>
      <c r="Q118" s="20">
        <v>0</v>
      </c>
      <c r="R118" s="20">
        <v>0</v>
      </c>
      <c r="S118" s="21">
        <f>NETWORKDAYS.INTL(DATE(2018,1,1),DATE(2018,12,31),1,{"2018/1/1";"2018/3/30";"2018/4/2";"2018/5/1";"2018/5/8";"2018/7/5";"2018/7/6";"2018/09/28";"2018/11/17";"2018/12/24";"2018/12/25";"2018/12/26"})</f>
        <v>250</v>
      </c>
      <c r="T118" s="21">
        <f t="shared" si="5"/>
        <v>115</v>
      </c>
      <c r="U118" s="21">
        <f t="shared" si="6"/>
        <v>365</v>
      </c>
      <c r="V118" s="311">
        <f t="shared" si="7"/>
        <v>750</v>
      </c>
      <c r="W118" s="140">
        <f t="shared" si="8"/>
        <v>0</v>
      </c>
      <c r="X118" s="141">
        <f t="shared" si="9"/>
        <v>0</v>
      </c>
      <c r="Y118" s="141">
        <v>0</v>
      </c>
    </row>
    <row r="119" spans="1:25" ht="15" x14ac:dyDescent="0.2">
      <c r="A119" s="353" t="s">
        <v>801</v>
      </c>
      <c r="B119" s="23" t="s">
        <v>334</v>
      </c>
      <c r="C119" s="23" t="s">
        <v>232</v>
      </c>
      <c r="D119" s="139" t="str">
        <f>VLOOKUP(C119,'Seznam HS - nemaš'!$A$1:$B$96,2,FALSE)</f>
        <v>462600</v>
      </c>
      <c r="E119" s="22" t="s">
        <v>827</v>
      </c>
      <c r="F119" s="30" t="s">
        <v>437</v>
      </c>
      <c r="G119" s="30"/>
      <c r="H119" s="28">
        <f>+IF(ISBLANK(I119),0,VLOOKUP(I119,'8Příloha_2_ceník_pravid_úklid'!$B$9:$C$30,2,0))</f>
        <v>20</v>
      </c>
      <c r="I119" s="143" t="s">
        <v>111</v>
      </c>
      <c r="J119" s="245">
        <v>1.32</v>
      </c>
      <c r="K119" s="275" t="s">
        <v>50</v>
      </c>
      <c r="L119" s="156" t="s">
        <v>806</v>
      </c>
      <c r="M119" s="22" t="s">
        <v>49</v>
      </c>
      <c r="N119" s="24">
        <f>IF((VLOOKUP(I119,'8Příloha_2_ceník_pravid_úklid'!$B$9:$I$30,8,0))=0,VLOOKUP(I119,'8Příloha_2_ceník_pravid_úklid'!$B$9:$K$30,10,0),VLOOKUP(I119,'8Příloha_2_ceník_pravid_úklid'!$B$9:$I$30,8,0))</f>
        <v>0</v>
      </c>
      <c r="O119" s="20">
        <v>3</v>
      </c>
      <c r="P119" s="20">
        <v>1</v>
      </c>
      <c r="Q119" s="20">
        <v>0</v>
      </c>
      <c r="R119" s="20">
        <v>0</v>
      </c>
      <c r="S119" s="21">
        <f>NETWORKDAYS.INTL(DATE(2018,1,1),DATE(2018,12,31),1,{"2018/1/1";"2018/3/30";"2018/4/2";"2018/5/1";"2018/5/8";"2018/7/5";"2018/7/6";"2018/09/28";"2018/11/17";"2018/12/24";"2018/12/25";"2018/12/26"})</f>
        <v>250</v>
      </c>
      <c r="T119" s="21">
        <f t="shared" si="5"/>
        <v>115</v>
      </c>
      <c r="U119" s="21">
        <f t="shared" si="6"/>
        <v>365</v>
      </c>
      <c r="V119" s="311">
        <f t="shared" si="7"/>
        <v>750</v>
      </c>
      <c r="W119" s="140">
        <f t="shared" si="8"/>
        <v>0</v>
      </c>
      <c r="X119" s="141">
        <f t="shared" si="9"/>
        <v>0</v>
      </c>
      <c r="Y119" s="141">
        <v>0</v>
      </c>
    </row>
    <row r="120" spans="1:25" ht="15" x14ac:dyDescent="0.2">
      <c r="A120" s="353" t="s">
        <v>801</v>
      </c>
      <c r="B120" s="23" t="s">
        <v>334</v>
      </c>
      <c r="C120" s="23" t="s">
        <v>232</v>
      </c>
      <c r="D120" s="139" t="str">
        <f>VLOOKUP(C120,'Seznam HS - nemaš'!$A$1:$B$96,2,FALSE)</f>
        <v>462600</v>
      </c>
      <c r="E120" s="22" t="s">
        <v>828</v>
      </c>
      <c r="F120" s="30" t="s">
        <v>507</v>
      </c>
      <c r="G120" s="30"/>
      <c r="H120" s="28">
        <f>+IF(ISBLANK(I120),0,VLOOKUP(I120,'8Příloha_2_ceník_pravid_úklid'!$B$9:$C$30,2,0))</f>
        <v>20</v>
      </c>
      <c r="I120" s="143" t="s">
        <v>111</v>
      </c>
      <c r="J120" s="245">
        <v>0.81</v>
      </c>
      <c r="K120" s="275" t="s">
        <v>651</v>
      </c>
      <c r="L120" s="156" t="s">
        <v>806</v>
      </c>
      <c r="M120" s="22" t="s">
        <v>49</v>
      </c>
      <c r="N120" s="24">
        <f>IF((VLOOKUP(I120,'8Příloha_2_ceník_pravid_úklid'!$B$9:$I$30,8,0))=0,VLOOKUP(I120,'8Příloha_2_ceník_pravid_úklid'!$B$9:$K$30,10,0),VLOOKUP(I120,'8Příloha_2_ceník_pravid_úklid'!$B$9:$I$30,8,0))</f>
        <v>0</v>
      </c>
      <c r="O120" s="20">
        <v>3</v>
      </c>
      <c r="P120" s="20">
        <v>1</v>
      </c>
      <c r="Q120" s="20">
        <v>0</v>
      </c>
      <c r="R120" s="20">
        <v>0</v>
      </c>
      <c r="S120" s="21">
        <f>NETWORKDAYS.INTL(DATE(2018,1,1),DATE(2018,12,31),1,{"2018/1/1";"2018/3/30";"2018/4/2";"2018/5/1";"2018/5/8";"2018/7/5";"2018/7/6";"2018/09/28";"2018/11/17";"2018/12/24";"2018/12/25";"2018/12/26"})</f>
        <v>250</v>
      </c>
      <c r="T120" s="21">
        <f t="shared" si="5"/>
        <v>115</v>
      </c>
      <c r="U120" s="21">
        <f t="shared" si="6"/>
        <v>365</v>
      </c>
      <c r="V120" s="311">
        <f t="shared" si="7"/>
        <v>750</v>
      </c>
      <c r="W120" s="140">
        <f t="shared" si="8"/>
        <v>0</v>
      </c>
      <c r="X120" s="141">
        <f t="shared" si="9"/>
        <v>0</v>
      </c>
      <c r="Y120" s="234">
        <v>0</v>
      </c>
    </row>
    <row r="121" spans="1:25" ht="15" x14ac:dyDescent="0.2">
      <c r="A121" s="356" t="s">
        <v>670</v>
      </c>
      <c r="B121" s="236" t="s">
        <v>334</v>
      </c>
      <c r="C121" s="236"/>
      <c r="D121" s="535">
        <f>VLOOKUP(C121,'Seznam HS - nemaš'!$A$1:$B$96,2,FALSE)</f>
        <v>0</v>
      </c>
      <c r="E121" s="237" t="s">
        <v>829</v>
      </c>
      <c r="F121" s="303" t="s">
        <v>336</v>
      </c>
      <c r="G121" s="303" t="s">
        <v>830</v>
      </c>
      <c r="H121" s="224">
        <f>+IF(ISBLANK(I121),0,VLOOKUP(I121,'8Příloha_2_ceník_pravid_úklid'!$B$9:$C$30,2,0))</f>
        <v>0</v>
      </c>
      <c r="I121" s="273"/>
      <c r="J121" s="239"/>
      <c r="K121" s="240"/>
      <c r="L121" s="242" t="s">
        <v>387</v>
      </c>
      <c r="M121" s="237"/>
      <c r="N121" s="229" t="s">
        <v>501</v>
      </c>
      <c r="O121" s="230">
        <v>0</v>
      </c>
      <c r="P121" s="230">
        <v>0</v>
      </c>
      <c r="Q121" s="230">
        <v>0</v>
      </c>
      <c r="R121" s="230">
        <v>0</v>
      </c>
      <c r="S121" s="231">
        <f>NETWORKDAYS.INTL(DATE(2018,1,1),DATE(2018,12,31),1,{"2018/1/1";"2018/3/30";"2018/4/2";"2018/5/1";"2018/5/8";"2018/7/5";"2018/7/6";"2018/09/28";"2018/11/17";"2018/12/24";"2018/12/25";"2018/12/26"})</f>
        <v>250</v>
      </c>
      <c r="T121" s="231">
        <f t="shared" si="5"/>
        <v>115</v>
      </c>
      <c r="U121" s="231">
        <f t="shared" si="6"/>
        <v>365</v>
      </c>
      <c r="V121" s="312">
        <f t="shared" si="7"/>
        <v>0</v>
      </c>
      <c r="W121" s="233">
        <f t="shared" si="8"/>
        <v>0</v>
      </c>
      <c r="X121" s="234">
        <f t="shared" si="9"/>
        <v>0</v>
      </c>
      <c r="Y121" s="234">
        <f t="shared" si="9"/>
        <v>0</v>
      </c>
    </row>
    <row r="122" spans="1:25" ht="15" x14ac:dyDescent="0.2">
      <c r="A122" s="356" t="s">
        <v>670</v>
      </c>
      <c r="B122" s="236" t="s">
        <v>334</v>
      </c>
      <c r="C122" s="236"/>
      <c r="D122" s="535">
        <f>VLOOKUP(C122,'Seznam HS - nemaš'!$A$1:$B$96,2,FALSE)</f>
        <v>0</v>
      </c>
      <c r="E122" s="237" t="s">
        <v>831</v>
      </c>
      <c r="F122" s="303" t="s">
        <v>832</v>
      </c>
      <c r="G122" s="303"/>
      <c r="H122" s="224">
        <f>+IF(ISBLANK(I122),0,VLOOKUP(I122,'8Příloha_2_ceník_pravid_úklid'!$B$9:$C$30,2,0))</f>
        <v>0</v>
      </c>
      <c r="I122" s="273"/>
      <c r="J122" s="239">
        <v>40.270000000000003</v>
      </c>
      <c r="K122" s="240"/>
      <c r="L122" s="242" t="s">
        <v>387</v>
      </c>
      <c r="M122" s="237"/>
      <c r="N122" s="229" t="s">
        <v>501</v>
      </c>
      <c r="O122" s="230">
        <v>0</v>
      </c>
      <c r="P122" s="230">
        <v>0</v>
      </c>
      <c r="Q122" s="230">
        <v>0</v>
      </c>
      <c r="R122" s="230">
        <v>0</v>
      </c>
      <c r="S122" s="231">
        <f>NETWORKDAYS.INTL(DATE(2018,1,1),DATE(2018,12,31),1,{"2018/1/1";"2018/3/30";"2018/4/2";"2018/5/1";"2018/5/8";"2018/7/5";"2018/7/6";"2018/09/28";"2018/11/17";"2018/12/24";"2018/12/25";"2018/12/26"})</f>
        <v>250</v>
      </c>
      <c r="T122" s="231">
        <f t="shared" si="5"/>
        <v>115</v>
      </c>
      <c r="U122" s="231">
        <f t="shared" si="6"/>
        <v>365</v>
      </c>
      <c r="V122" s="312">
        <f t="shared" si="7"/>
        <v>0</v>
      </c>
      <c r="W122" s="233">
        <f t="shared" si="8"/>
        <v>0</v>
      </c>
      <c r="X122" s="234">
        <f t="shared" si="9"/>
        <v>0</v>
      </c>
      <c r="Y122" s="234">
        <f t="shared" si="9"/>
        <v>0</v>
      </c>
    </row>
    <row r="123" spans="1:25" ht="15" x14ac:dyDescent="0.2">
      <c r="A123" s="356" t="s">
        <v>670</v>
      </c>
      <c r="B123" s="236" t="s">
        <v>334</v>
      </c>
      <c r="C123" s="236"/>
      <c r="D123" s="535">
        <f>VLOOKUP(C123,'Seznam HS - nemaš'!$A$1:$B$96,2,FALSE)</f>
        <v>0</v>
      </c>
      <c r="E123" s="237" t="s">
        <v>833</v>
      </c>
      <c r="F123" s="303" t="s">
        <v>505</v>
      </c>
      <c r="G123" s="303" t="s">
        <v>663</v>
      </c>
      <c r="H123" s="224">
        <f>+IF(ISBLANK(I123),0,VLOOKUP(I123,'8Příloha_2_ceník_pravid_úklid'!$B$9:$C$30,2,0))</f>
        <v>0</v>
      </c>
      <c r="I123" s="273"/>
      <c r="J123" s="239">
        <v>66.84</v>
      </c>
      <c r="K123" s="240"/>
      <c r="L123" s="242" t="s">
        <v>387</v>
      </c>
      <c r="M123" s="237"/>
      <c r="N123" s="229" t="s">
        <v>501</v>
      </c>
      <c r="O123" s="230">
        <v>0</v>
      </c>
      <c r="P123" s="230">
        <v>0</v>
      </c>
      <c r="Q123" s="230">
        <v>0</v>
      </c>
      <c r="R123" s="230">
        <v>0</v>
      </c>
      <c r="S123" s="231">
        <f>NETWORKDAYS.INTL(DATE(2018,1,1),DATE(2018,12,31),1,{"2018/1/1";"2018/3/30";"2018/4/2";"2018/5/1";"2018/5/8";"2018/7/5";"2018/7/6";"2018/09/28";"2018/11/17";"2018/12/24";"2018/12/25";"2018/12/26"})</f>
        <v>250</v>
      </c>
      <c r="T123" s="231">
        <f t="shared" si="5"/>
        <v>115</v>
      </c>
      <c r="U123" s="231">
        <f t="shared" si="6"/>
        <v>365</v>
      </c>
      <c r="V123" s="312">
        <f t="shared" si="7"/>
        <v>0</v>
      </c>
      <c r="W123" s="233">
        <f t="shared" si="8"/>
        <v>0</v>
      </c>
      <c r="X123" s="234">
        <f t="shared" si="9"/>
        <v>0</v>
      </c>
      <c r="Y123" s="234">
        <f t="shared" si="9"/>
        <v>0</v>
      </c>
    </row>
    <row r="124" spans="1:25" ht="15" x14ac:dyDescent="0.2">
      <c r="A124" s="372" t="s">
        <v>834</v>
      </c>
      <c r="B124" s="23" t="s">
        <v>334</v>
      </c>
      <c r="C124" s="23" t="s">
        <v>189</v>
      </c>
      <c r="D124" s="139" t="str">
        <f>VLOOKUP(C124,'Seznam HS - nemaš'!$A$1:$B$96,2,FALSE)</f>
        <v>430200</v>
      </c>
      <c r="E124" s="22" t="s">
        <v>835</v>
      </c>
      <c r="F124" s="30" t="s">
        <v>494</v>
      </c>
      <c r="G124" s="373">
        <v>12</v>
      </c>
      <c r="H124" s="28">
        <f>+IF(ISBLANK(I124),0,VLOOKUP(I124,'8Příloha_2_ceník_pravid_úklid'!$B$9:$C$30,2,0))</f>
        <v>10</v>
      </c>
      <c r="I124" s="143" t="s">
        <v>0</v>
      </c>
      <c r="J124" s="245">
        <v>13.78</v>
      </c>
      <c r="K124" s="275" t="s">
        <v>50</v>
      </c>
      <c r="L124" s="156" t="s">
        <v>836</v>
      </c>
      <c r="M124" s="22" t="s">
        <v>49</v>
      </c>
      <c r="N124" s="24">
        <f>IF((VLOOKUP(I124,'8Příloha_2_ceník_pravid_úklid'!$B$9:$I$30,8,0))=0,VLOOKUP(I124,'8Příloha_2_ceník_pravid_úklid'!$B$9:$K$30,10,0),VLOOKUP(I124,'8Příloha_2_ceník_pravid_úklid'!$B$9:$I$30,8,0))</f>
        <v>0</v>
      </c>
      <c r="O124" s="20">
        <v>1</v>
      </c>
      <c r="P124" s="20">
        <f>2/5</f>
        <v>0.4</v>
      </c>
      <c r="Q124" s="20">
        <v>0</v>
      </c>
      <c r="R124" s="20">
        <v>0</v>
      </c>
      <c r="S124" s="21">
        <f>NETWORKDAYS.INTL(DATE(2018,1,1),DATE(2018,12,31),1,{"2018/1/1";"2018/3/30";"2018/4/2";"2018/5/1";"2018/5/8";"2018/7/5";"2018/7/6";"2018/09/28";"2018/11/17";"2018/12/24";"2018/12/25";"2018/12/26"})</f>
        <v>250</v>
      </c>
      <c r="T124" s="21">
        <f t="shared" si="5"/>
        <v>115</v>
      </c>
      <c r="U124" s="21">
        <f t="shared" si="6"/>
        <v>365</v>
      </c>
      <c r="V124" s="311">
        <f t="shared" si="7"/>
        <v>100</v>
      </c>
      <c r="W124" s="140">
        <f t="shared" si="8"/>
        <v>0</v>
      </c>
      <c r="X124" s="141">
        <f t="shared" si="9"/>
        <v>0</v>
      </c>
      <c r="Y124" s="141">
        <v>0</v>
      </c>
    </row>
    <row r="125" spans="1:25" ht="15" x14ac:dyDescent="0.2">
      <c r="A125" s="372" t="s">
        <v>834</v>
      </c>
      <c r="B125" s="23" t="s">
        <v>334</v>
      </c>
      <c r="C125" s="23" t="s">
        <v>189</v>
      </c>
      <c r="D125" s="139" t="str">
        <f>VLOOKUP(C125,'Seznam HS - nemaš'!$A$1:$B$96,2,FALSE)</f>
        <v>430200</v>
      </c>
      <c r="E125" s="22" t="s">
        <v>837</v>
      </c>
      <c r="F125" s="30" t="s">
        <v>477</v>
      </c>
      <c r="G125" s="373">
        <v>12</v>
      </c>
      <c r="H125" s="28">
        <f>+IF(ISBLANK(I125),0,VLOOKUP(I125,'8Příloha_2_ceník_pravid_úklid'!$B$9:$C$30,2,0))</f>
        <v>7</v>
      </c>
      <c r="I125" s="143" t="s">
        <v>14</v>
      </c>
      <c r="J125" s="245">
        <v>6.46</v>
      </c>
      <c r="K125" s="275" t="s">
        <v>50</v>
      </c>
      <c r="L125" s="156" t="s">
        <v>836</v>
      </c>
      <c r="M125" s="22" t="s">
        <v>49</v>
      </c>
      <c r="N125" s="24">
        <f>IF((VLOOKUP(I125,'8Příloha_2_ceník_pravid_úklid'!$B$9:$I$30,8,0))=0,VLOOKUP(I125,'8Příloha_2_ceník_pravid_úklid'!$B$9:$K$30,10,0),VLOOKUP(I125,'8Příloha_2_ceník_pravid_úklid'!$B$9:$I$30,8,0))</f>
        <v>0</v>
      </c>
      <c r="O125" s="20">
        <v>1</v>
      </c>
      <c r="P125" s="20">
        <f t="shared" ref="P125:P139" si="10">2/5</f>
        <v>0.4</v>
      </c>
      <c r="Q125" s="20">
        <v>0</v>
      </c>
      <c r="R125" s="20">
        <v>0</v>
      </c>
      <c r="S125" s="21">
        <f>NETWORKDAYS.INTL(DATE(2018,1,1),DATE(2018,12,31),1,{"2018/1/1";"2018/3/30";"2018/4/2";"2018/5/1";"2018/5/8";"2018/7/5";"2018/7/6";"2018/09/28";"2018/11/17";"2018/12/24";"2018/12/25";"2018/12/26"})</f>
        <v>250</v>
      </c>
      <c r="T125" s="21">
        <f t="shared" si="5"/>
        <v>115</v>
      </c>
      <c r="U125" s="21">
        <f t="shared" si="6"/>
        <v>365</v>
      </c>
      <c r="V125" s="311">
        <f t="shared" si="7"/>
        <v>100</v>
      </c>
      <c r="W125" s="140">
        <f t="shared" si="8"/>
        <v>0</v>
      </c>
      <c r="X125" s="141">
        <f t="shared" si="9"/>
        <v>0</v>
      </c>
      <c r="Y125" s="141">
        <v>0</v>
      </c>
    </row>
    <row r="126" spans="1:25" ht="15" x14ac:dyDescent="0.2">
      <c r="A126" s="372" t="s">
        <v>834</v>
      </c>
      <c r="B126" s="23" t="s">
        <v>334</v>
      </c>
      <c r="C126" s="23" t="s">
        <v>223</v>
      </c>
      <c r="D126" s="139" t="str">
        <f>VLOOKUP(C126,'Seznam HS - nemaš'!$A$1:$B$96,2,FALSE)</f>
        <v>455400</v>
      </c>
      <c r="E126" s="22" t="s">
        <v>838</v>
      </c>
      <c r="F126" s="30" t="s">
        <v>494</v>
      </c>
      <c r="G126" s="373">
        <v>11</v>
      </c>
      <c r="H126" s="28">
        <f>+IF(ISBLANK(I126),0,VLOOKUP(I126,'8Příloha_2_ceník_pravid_úklid'!$B$9:$C$30,2,0))</f>
        <v>10</v>
      </c>
      <c r="I126" s="143" t="s">
        <v>0</v>
      </c>
      <c r="J126" s="245">
        <v>10.75</v>
      </c>
      <c r="K126" s="275" t="s">
        <v>50</v>
      </c>
      <c r="L126" s="156" t="s">
        <v>836</v>
      </c>
      <c r="M126" s="22" t="s">
        <v>49</v>
      </c>
      <c r="N126" s="24">
        <f>IF((VLOOKUP(I126,'8Příloha_2_ceník_pravid_úklid'!$B$9:$I$30,8,0))=0,VLOOKUP(I126,'8Příloha_2_ceník_pravid_úklid'!$B$9:$K$30,10,0),VLOOKUP(I126,'8Příloha_2_ceník_pravid_úklid'!$B$9:$I$30,8,0))</f>
        <v>0</v>
      </c>
      <c r="O126" s="20">
        <v>1</v>
      </c>
      <c r="P126" s="20">
        <f t="shared" si="10"/>
        <v>0.4</v>
      </c>
      <c r="Q126" s="20">
        <v>0</v>
      </c>
      <c r="R126" s="20">
        <v>0</v>
      </c>
      <c r="S126" s="21">
        <f>NETWORKDAYS.INTL(DATE(2018,1,1),DATE(2018,12,31),1,{"2018/1/1";"2018/3/30";"2018/4/2";"2018/5/1";"2018/5/8";"2018/7/5";"2018/7/6";"2018/09/28";"2018/11/17";"2018/12/24";"2018/12/25";"2018/12/26"})</f>
        <v>250</v>
      </c>
      <c r="T126" s="21">
        <f t="shared" si="5"/>
        <v>115</v>
      </c>
      <c r="U126" s="21">
        <f t="shared" si="6"/>
        <v>365</v>
      </c>
      <c r="V126" s="311">
        <f t="shared" si="7"/>
        <v>100</v>
      </c>
      <c r="W126" s="140">
        <f t="shared" si="8"/>
        <v>0</v>
      </c>
      <c r="X126" s="141">
        <f t="shared" si="9"/>
        <v>0</v>
      </c>
      <c r="Y126" s="141">
        <v>0</v>
      </c>
    </row>
    <row r="127" spans="1:25" ht="15" x14ac:dyDescent="0.2">
      <c r="A127" s="372" t="s">
        <v>834</v>
      </c>
      <c r="B127" s="23" t="s">
        <v>334</v>
      </c>
      <c r="C127" s="23" t="s">
        <v>225</v>
      </c>
      <c r="D127" s="139" t="str">
        <f>VLOOKUP(C127,'Seznam HS - nemaš'!$A$1:$B$96,2,FALSE)</f>
        <v>455500</v>
      </c>
      <c r="E127" s="22" t="s">
        <v>839</v>
      </c>
      <c r="F127" s="30" t="s">
        <v>477</v>
      </c>
      <c r="G127" s="373">
        <v>11</v>
      </c>
      <c r="H127" s="28">
        <f>+IF(ISBLANK(I127),0,VLOOKUP(I127,'8Příloha_2_ceník_pravid_úklid'!$B$9:$C$30,2,0))</f>
        <v>7</v>
      </c>
      <c r="I127" s="143" t="s">
        <v>14</v>
      </c>
      <c r="J127" s="245">
        <v>6.46</v>
      </c>
      <c r="K127" s="275" t="s">
        <v>50</v>
      </c>
      <c r="L127" s="156" t="s">
        <v>836</v>
      </c>
      <c r="M127" s="22" t="s">
        <v>49</v>
      </c>
      <c r="N127" s="24">
        <f>IF((VLOOKUP(I127,'8Příloha_2_ceník_pravid_úklid'!$B$9:$I$30,8,0))=0,VLOOKUP(I127,'8Příloha_2_ceník_pravid_úklid'!$B$9:$K$30,10,0),VLOOKUP(I127,'8Příloha_2_ceník_pravid_úklid'!$B$9:$I$30,8,0))</f>
        <v>0</v>
      </c>
      <c r="O127" s="20">
        <v>1</v>
      </c>
      <c r="P127" s="20">
        <f t="shared" si="10"/>
        <v>0.4</v>
      </c>
      <c r="Q127" s="20">
        <v>0</v>
      </c>
      <c r="R127" s="20">
        <v>0</v>
      </c>
      <c r="S127" s="21">
        <f>NETWORKDAYS.INTL(DATE(2018,1,1),DATE(2018,12,31),1,{"2018/1/1";"2018/3/30";"2018/4/2";"2018/5/1";"2018/5/8";"2018/7/5";"2018/7/6";"2018/09/28";"2018/11/17";"2018/12/24";"2018/12/25";"2018/12/26"})</f>
        <v>250</v>
      </c>
      <c r="T127" s="21">
        <f t="shared" si="5"/>
        <v>115</v>
      </c>
      <c r="U127" s="21">
        <f t="shared" si="6"/>
        <v>365</v>
      </c>
      <c r="V127" s="311">
        <f t="shared" si="7"/>
        <v>100</v>
      </c>
      <c r="W127" s="140">
        <f t="shared" si="8"/>
        <v>0</v>
      </c>
      <c r="X127" s="141">
        <f t="shared" si="9"/>
        <v>0</v>
      </c>
      <c r="Y127" s="141">
        <v>0</v>
      </c>
    </row>
    <row r="128" spans="1:25" ht="15" x14ac:dyDescent="0.2">
      <c r="A128" s="372" t="s">
        <v>834</v>
      </c>
      <c r="B128" s="23" t="s">
        <v>334</v>
      </c>
      <c r="C128" s="23" t="s">
        <v>195</v>
      </c>
      <c r="D128" s="139" t="str">
        <f>VLOOKUP(C128,'Seznam HS - nemaš'!$A$1:$B$96,2,FALSE)</f>
        <v>432400</v>
      </c>
      <c r="E128" s="22" t="s">
        <v>840</v>
      </c>
      <c r="F128" s="30" t="s">
        <v>477</v>
      </c>
      <c r="G128" s="373">
        <v>10</v>
      </c>
      <c r="H128" s="28">
        <f>+IF(ISBLANK(I128),0,VLOOKUP(I128,'8Příloha_2_ceník_pravid_úklid'!$B$9:$C$30,2,0))</f>
        <v>7</v>
      </c>
      <c r="I128" s="143" t="s">
        <v>14</v>
      </c>
      <c r="J128" s="245">
        <v>6.46</v>
      </c>
      <c r="K128" s="275" t="s">
        <v>50</v>
      </c>
      <c r="L128" s="156" t="s">
        <v>836</v>
      </c>
      <c r="M128" s="22" t="s">
        <v>49</v>
      </c>
      <c r="N128" s="24">
        <f>IF((VLOOKUP(I128,'8Příloha_2_ceník_pravid_úklid'!$B$9:$I$30,8,0))=0,VLOOKUP(I128,'8Příloha_2_ceník_pravid_úklid'!$B$9:$K$30,10,0),VLOOKUP(I128,'8Příloha_2_ceník_pravid_úklid'!$B$9:$I$30,8,0))</f>
        <v>0</v>
      </c>
      <c r="O128" s="20">
        <v>1</v>
      </c>
      <c r="P128" s="20">
        <f t="shared" si="10"/>
        <v>0.4</v>
      </c>
      <c r="Q128" s="20">
        <v>0</v>
      </c>
      <c r="R128" s="20">
        <v>0</v>
      </c>
      <c r="S128" s="21">
        <f>NETWORKDAYS.INTL(DATE(2018,1,1),DATE(2018,12,31),1,{"2018/1/1";"2018/3/30";"2018/4/2";"2018/5/1";"2018/5/8";"2018/7/5";"2018/7/6";"2018/09/28";"2018/11/17";"2018/12/24";"2018/12/25";"2018/12/26"})</f>
        <v>250</v>
      </c>
      <c r="T128" s="21">
        <f t="shared" si="5"/>
        <v>115</v>
      </c>
      <c r="U128" s="21">
        <f t="shared" si="6"/>
        <v>365</v>
      </c>
      <c r="V128" s="311">
        <f t="shared" si="7"/>
        <v>100</v>
      </c>
      <c r="W128" s="140">
        <f t="shared" si="8"/>
        <v>0</v>
      </c>
      <c r="X128" s="141">
        <f t="shared" si="9"/>
        <v>0</v>
      </c>
      <c r="Y128" s="141">
        <v>0</v>
      </c>
    </row>
    <row r="129" spans="1:25" ht="15" x14ac:dyDescent="0.2">
      <c r="A129" s="372" t="s">
        <v>834</v>
      </c>
      <c r="B129" s="23" t="s">
        <v>334</v>
      </c>
      <c r="C129" s="23" t="s">
        <v>193</v>
      </c>
      <c r="D129" s="139" t="str">
        <f>VLOOKUP(C129,'Seznam HS - nemaš'!$A$1:$B$96,2,FALSE)</f>
        <v>432100</v>
      </c>
      <c r="E129" s="22" t="s">
        <v>841</v>
      </c>
      <c r="F129" s="30" t="s">
        <v>494</v>
      </c>
      <c r="G129" s="373">
        <v>10</v>
      </c>
      <c r="H129" s="28">
        <f>+IF(ISBLANK(I129),0,VLOOKUP(I129,'8Příloha_2_ceník_pravid_úklid'!$B$9:$C$30,2,0))</f>
        <v>10</v>
      </c>
      <c r="I129" s="143" t="s">
        <v>0</v>
      </c>
      <c r="J129" s="245">
        <v>9.86</v>
      </c>
      <c r="K129" s="275" t="s">
        <v>50</v>
      </c>
      <c r="L129" s="156" t="s">
        <v>836</v>
      </c>
      <c r="M129" s="22" t="s">
        <v>49</v>
      </c>
      <c r="N129" s="24">
        <f>IF((VLOOKUP(I129,'8Příloha_2_ceník_pravid_úklid'!$B$9:$I$30,8,0))=0,VLOOKUP(I129,'8Příloha_2_ceník_pravid_úklid'!$B$9:$K$30,10,0),VLOOKUP(I129,'8Příloha_2_ceník_pravid_úklid'!$B$9:$I$30,8,0))</f>
        <v>0</v>
      </c>
      <c r="O129" s="20">
        <v>1</v>
      </c>
      <c r="P129" s="20">
        <f t="shared" si="10"/>
        <v>0.4</v>
      </c>
      <c r="Q129" s="20">
        <v>0</v>
      </c>
      <c r="R129" s="20">
        <v>0</v>
      </c>
      <c r="S129" s="21">
        <f>NETWORKDAYS.INTL(DATE(2018,1,1),DATE(2018,12,31),1,{"2018/1/1";"2018/3/30";"2018/4/2";"2018/5/1";"2018/5/8";"2018/7/5";"2018/7/6";"2018/09/28";"2018/11/17";"2018/12/24";"2018/12/25";"2018/12/26"})</f>
        <v>250</v>
      </c>
      <c r="T129" s="21">
        <f t="shared" si="5"/>
        <v>115</v>
      </c>
      <c r="U129" s="21">
        <f t="shared" si="6"/>
        <v>365</v>
      </c>
      <c r="V129" s="311">
        <f t="shared" si="7"/>
        <v>100</v>
      </c>
      <c r="W129" s="140">
        <f t="shared" si="8"/>
        <v>0</v>
      </c>
      <c r="X129" s="141">
        <f t="shared" si="9"/>
        <v>0</v>
      </c>
      <c r="Y129" s="141">
        <v>0</v>
      </c>
    </row>
    <row r="130" spans="1:25" ht="15" x14ac:dyDescent="0.2">
      <c r="A130" s="372" t="s">
        <v>834</v>
      </c>
      <c r="B130" s="23" t="s">
        <v>334</v>
      </c>
      <c r="C130" s="23" t="s">
        <v>217</v>
      </c>
      <c r="D130" s="139" t="str">
        <f>VLOOKUP(C130,'Seznam HS - nemaš'!$A$1:$B$96,2,FALSE)</f>
        <v>451500</v>
      </c>
      <c r="E130" s="22" t="s">
        <v>842</v>
      </c>
      <c r="F130" s="30" t="s">
        <v>494</v>
      </c>
      <c r="G130" s="373">
        <v>9</v>
      </c>
      <c r="H130" s="28">
        <f>+IF(ISBLANK(I130),0,VLOOKUP(I130,'8Příloha_2_ceník_pravid_úklid'!$B$9:$C$30,2,0))</f>
        <v>10</v>
      </c>
      <c r="I130" s="143" t="s">
        <v>0</v>
      </c>
      <c r="J130" s="245">
        <v>14.01</v>
      </c>
      <c r="K130" s="275" t="s">
        <v>50</v>
      </c>
      <c r="L130" s="156" t="s">
        <v>836</v>
      </c>
      <c r="M130" s="22" t="s">
        <v>49</v>
      </c>
      <c r="N130" s="24">
        <f>IF((VLOOKUP(I130,'8Příloha_2_ceník_pravid_úklid'!$B$9:$I$30,8,0))=0,VLOOKUP(I130,'8Příloha_2_ceník_pravid_úklid'!$B$9:$K$30,10,0),VLOOKUP(I130,'8Příloha_2_ceník_pravid_úklid'!$B$9:$I$30,8,0))</f>
        <v>0</v>
      </c>
      <c r="O130" s="20">
        <v>1</v>
      </c>
      <c r="P130" s="20">
        <f t="shared" si="10"/>
        <v>0.4</v>
      </c>
      <c r="Q130" s="20">
        <v>0</v>
      </c>
      <c r="R130" s="20">
        <v>0</v>
      </c>
      <c r="S130" s="21">
        <f>NETWORKDAYS.INTL(DATE(2018,1,1),DATE(2018,12,31),1,{"2018/1/1";"2018/3/30";"2018/4/2";"2018/5/1";"2018/5/8";"2018/7/5";"2018/7/6";"2018/09/28";"2018/11/17";"2018/12/24";"2018/12/25";"2018/12/26"})</f>
        <v>250</v>
      </c>
      <c r="T130" s="21">
        <f t="shared" si="5"/>
        <v>115</v>
      </c>
      <c r="U130" s="21">
        <f t="shared" si="6"/>
        <v>365</v>
      </c>
      <c r="V130" s="311">
        <f t="shared" si="7"/>
        <v>100</v>
      </c>
      <c r="W130" s="140">
        <f t="shared" si="8"/>
        <v>0</v>
      </c>
      <c r="X130" s="141">
        <f t="shared" si="9"/>
        <v>0</v>
      </c>
      <c r="Y130" s="141">
        <v>0</v>
      </c>
    </row>
    <row r="131" spans="1:25" ht="15" x14ac:dyDescent="0.2">
      <c r="A131" s="372" t="s">
        <v>834</v>
      </c>
      <c r="B131" s="23" t="s">
        <v>334</v>
      </c>
      <c r="C131" s="23" t="s">
        <v>217</v>
      </c>
      <c r="D131" s="139" t="str">
        <f>VLOOKUP(C131,'Seznam HS - nemaš'!$A$1:$B$96,2,FALSE)</f>
        <v>451500</v>
      </c>
      <c r="E131" s="22" t="s">
        <v>843</v>
      </c>
      <c r="F131" s="30" t="s">
        <v>477</v>
      </c>
      <c r="G131" s="373">
        <v>9</v>
      </c>
      <c r="H131" s="28">
        <f>+IF(ISBLANK(I131),0,VLOOKUP(I131,'8Příloha_2_ceník_pravid_úklid'!$B$9:$C$30,2,0))</f>
        <v>7</v>
      </c>
      <c r="I131" s="143" t="s">
        <v>14</v>
      </c>
      <c r="J131" s="245">
        <v>9.02</v>
      </c>
      <c r="K131" s="275" t="s">
        <v>50</v>
      </c>
      <c r="L131" s="156" t="s">
        <v>836</v>
      </c>
      <c r="M131" s="22" t="s">
        <v>49</v>
      </c>
      <c r="N131" s="24">
        <f>IF((VLOOKUP(I131,'8Příloha_2_ceník_pravid_úklid'!$B$9:$I$30,8,0))=0,VLOOKUP(I131,'8Příloha_2_ceník_pravid_úklid'!$B$9:$K$30,10,0),VLOOKUP(I131,'8Příloha_2_ceník_pravid_úklid'!$B$9:$I$30,8,0))</f>
        <v>0</v>
      </c>
      <c r="O131" s="20">
        <v>1</v>
      </c>
      <c r="P131" s="20">
        <f t="shared" si="10"/>
        <v>0.4</v>
      </c>
      <c r="Q131" s="20">
        <v>0</v>
      </c>
      <c r="R131" s="20">
        <v>0</v>
      </c>
      <c r="S131" s="21">
        <f>NETWORKDAYS.INTL(DATE(2018,1,1),DATE(2018,12,31),1,{"2018/1/1";"2018/3/30";"2018/4/2";"2018/5/1";"2018/5/8";"2018/7/5";"2018/7/6";"2018/09/28";"2018/11/17";"2018/12/24";"2018/12/25";"2018/12/26"})</f>
        <v>250</v>
      </c>
      <c r="T131" s="21">
        <f t="shared" si="5"/>
        <v>115</v>
      </c>
      <c r="U131" s="21">
        <f t="shared" si="6"/>
        <v>365</v>
      </c>
      <c r="V131" s="311">
        <f t="shared" si="7"/>
        <v>100</v>
      </c>
      <c r="W131" s="140">
        <f t="shared" si="8"/>
        <v>0</v>
      </c>
      <c r="X131" s="141">
        <f t="shared" si="9"/>
        <v>0</v>
      </c>
      <c r="Y131" s="141">
        <v>0</v>
      </c>
    </row>
    <row r="132" spans="1:25" ht="15" x14ac:dyDescent="0.2">
      <c r="A132" s="372" t="s">
        <v>834</v>
      </c>
      <c r="B132" s="23" t="s">
        <v>334</v>
      </c>
      <c r="C132" s="23" t="s">
        <v>179</v>
      </c>
      <c r="D132" s="139" t="str">
        <f>VLOOKUP(C132,'Seznam HS - nemaš'!$A$1:$B$96,2,FALSE)</f>
        <v>417200</v>
      </c>
      <c r="E132" s="22" t="s">
        <v>844</v>
      </c>
      <c r="F132" s="30" t="s">
        <v>477</v>
      </c>
      <c r="G132" s="373">
        <v>8</v>
      </c>
      <c r="H132" s="28">
        <f>+IF(ISBLANK(I132),0,VLOOKUP(I132,'8Příloha_2_ceník_pravid_úklid'!$B$9:$C$30,2,0))</f>
        <v>7</v>
      </c>
      <c r="I132" s="143" t="s">
        <v>14</v>
      </c>
      <c r="J132" s="245">
        <v>9.02</v>
      </c>
      <c r="K132" s="275" t="s">
        <v>50</v>
      </c>
      <c r="L132" s="156" t="s">
        <v>836</v>
      </c>
      <c r="M132" s="22" t="s">
        <v>49</v>
      </c>
      <c r="N132" s="24">
        <f>IF((VLOOKUP(I132,'8Příloha_2_ceník_pravid_úklid'!$B$9:$I$30,8,0))=0,VLOOKUP(I132,'8Příloha_2_ceník_pravid_úklid'!$B$9:$K$30,10,0),VLOOKUP(I132,'8Příloha_2_ceník_pravid_úklid'!$B$9:$I$30,8,0))</f>
        <v>0</v>
      </c>
      <c r="O132" s="20">
        <v>1</v>
      </c>
      <c r="P132" s="20">
        <f t="shared" si="10"/>
        <v>0.4</v>
      </c>
      <c r="Q132" s="20">
        <v>0</v>
      </c>
      <c r="R132" s="20">
        <v>0</v>
      </c>
      <c r="S132" s="21">
        <f>NETWORKDAYS.INTL(DATE(2018,1,1),DATE(2018,12,31),1,{"2018/1/1";"2018/3/30";"2018/4/2";"2018/5/1";"2018/5/8";"2018/7/5";"2018/7/6";"2018/09/28";"2018/11/17";"2018/12/24";"2018/12/25";"2018/12/26"})</f>
        <v>250</v>
      </c>
      <c r="T132" s="21">
        <f t="shared" si="5"/>
        <v>115</v>
      </c>
      <c r="U132" s="21">
        <f t="shared" si="6"/>
        <v>365</v>
      </c>
      <c r="V132" s="311">
        <f t="shared" si="7"/>
        <v>100</v>
      </c>
      <c r="W132" s="140">
        <f t="shared" si="8"/>
        <v>0</v>
      </c>
      <c r="X132" s="141">
        <f t="shared" si="9"/>
        <v>0</v>
      </c>
      <c r="Y132" s="141">
        <v>0</v>
      </c>
    </row>
    <row r="133" spans="1:25" ht="15" x14ac:dyDescent="0.2">
      <c r="A133" s="372" t="s">
        <v>834</v>
      </c>
      <c r="B133" s="23" t="s">
        <v>334</v>
      </c>
      <c r="C133" s="23" t="s">
        <v>179</v>
      </c>
      <c r="D133" s="139" t="str">
        <f>VLOOKUP(C133,'Seznam HS - nemaš'!$A$1:$B$96,2,FALSE)</f>
        <v>417200</v>
      </c>
      <c r="E133" s="22" t="s">
        <v>845</v>
      </c>
      <c r="F133" s="30" t="s">
        <v>494</v>
      </c>
      <c r="G133" s="373">
        <v>8</v>
      </c>
      <c r="H133" s="28">
        <f>+IF(ISBLANK(I133),0,VLOOKUP(I133,'8Příloha_2_ceník_pravid_úklid'!$B$9:$C$30,2,0))</f>
        <v>10</v>
      </c>
      <c r="I133" s="143" t="s">
        <v>0</v>
      </c>
      <c r="J133" s="245">
        <v>14.72</v>
      </c>
      <c r="K133" s="275" t="s">
        <v>50</v>
      </c>
      <c r="L133" s="156" t="s">
        <v>836</v>
      </c>
      <c r="M133" s="22" t="s">
        <v>49</v>
      </c>
      <c r="N133" s="24">
        <f>IF((VLOOKUP(I133,'8Příloha_2_ceník_pravid_úklid'!$B$9:$I$30,8,0))=0,VLOOKUP(I133,'8Příloha_2_ceník_pravid_úklid'!$B$9:$K$30,10,0),VLOOKUP(I133,'8Příloha_2_ceník_pravid_úklid'!$B$9:$I$30,8,0))</f>
        <v>0</v>
      </c>
      <c r="O133" s="20">
        <v>1</v>
      </c>
      <c r="P133" s="20">
        <f t="shared" si="10"/>
        <v>0.4</v>
      </c>
      <c r="Q133" s="20">
        <v>0</v>
      </c>
      <c r="R133" s="20">
        <v>0</v>
      </c>
      <c r="S133" s="21">
        <f>NETWORKDAYS.INTL(DATE(2018,1,1),DATE(2018,12,31),1,{"2018/1/1";"2018/3/30";"2018/4/2";"2018/5/1";"2018/5/8";"2018/7/5";"2018/7/6";"2018/09/28";"2018/11/17";"2018/12/24";"2018/12/25";"2018/12/26"})</f>
        <v>250</v>
      </c>
      <c r="T133" s="21">
        <f t="shared" si="5"/>
        <v>115</v>
      </c>
      <c r="U133" s="21">
        <f t="shared" si="6"/>
        <v>365</v>
      </c>
      <c r="V133" s="311">
        <f t="shared" si="7"/>
        <v>100</v>
      </c>
      <c r="W133" s="140">
        <f t="shared" si="8"/>
        <v>0</v>
      </c>
      <c r="X133" s="141">
        <f t="shared" si="9"/>
        <v>0</v>
      </c>
      <c r="Y133" s="141">
        <v>0</v>
      </c>
    </row>
    <row r="134" spans="1:25" ht="15" x14ac:dyDescent="0.2">
      <c r="A134" s="372" t="s">
        <v>834</v>
      </c>
      <c r="B134" s="23" t="s">
        <v>334</v>
      </c>
      <c r="C134" s="23" t="s">
        <v>185</v>
      </c>
      <c r="D134" s="139" t="str">
        <f>VLOOKUP(C134,'Seznam HS - nemaš'!$A$1:$B$96,2,FALSE)</f>
        <v>430100</v>
      </c>
      <c r="E134" s="22" t="s">
        <v>846</v>
      </c>
      <c r="F134" s="30" t="s">
        <v>494</v>
      </c>
      <c r="G134" s="373">
        <v>7</v>
      </c>
      <c r="H134" s="28">
        <f>+IF(ISBLANK(I134),0,VLOOKUP(I134,'8Příloha_2_ceník_pravid_úklid'!$B$9:$C$30,2,0))</f>
        <v>10</v>
      </c>
      <c r="I134" s="143" t="s">
        <v>0</v>
      </c>
      <c r="J134" s="245">
        <v>14.01</v>
      </c>
      <c r="K134" s="275" t="s">
        <v>50</v>
      </c>
      <c r="L134" s="156" t="s">
        <v>836</v>
      </c>
      <c r="M134" s="22" t="s">
        <v>49</v>
      </c>
      <c r="N134" s="24">
        <f>IF((VLOOKUP(I134,'8Příloha_2_ceník_pravid_úklid'!$B$9:$I$30,8,0))=0,VLOOKUP(I134,'8Příloha_2_ceník_pravid_úklid'!$B$9:$K$30,10,0),VLOOKUP(I134,'8Příloha_2_ceník_pravid_úklid'!$B$9:$I$30,8,0))</f>
        <v>0</v>
      </c>
      <c r="O134" s="20">
        <v>1</v>
      </c>
      <c r="P134" s="20">
        <f t="shared" si="10"/>
        <v>0.4</v>
      </c>
      <c r="Q134" s="20">
        <v>0</v>
      </c>
      <c r="R134" s="20">
        <v>0</v>
      </c>
      <c r="S134" s="21">
        <f>NETWORKDAYS.INTL(DATE(2018,1,1),DATE(2018,12,31),1,{"2018/1/1";"2018/3/30";"2018/4/2";"2018/5/1";"2018/5/8";"2018/7/5";"2018/7/6";"2018/09/28";"2018/11/17";"2018/12/24";"2018/12/25";"2018/12/26"})</f>
        <v>250</v>
      </c>
      <c r="T134" s="21">
        <f t="shared" ref="T134:T197" si="11">U134-S134</f>
        <v>115</v>
      </c>
      <c r="U134" s="21">
        <f t="shared" ref="U134:U197" si="12">_xlfn.DAYS("1.1.2019","1.1.2018")</f>
        <v>365</v>
      </c>
      <c r="V134" s="311">
        <f t="shared" ref="V134:V197" si="13">ROUND(O134*P134*S134+Q134*R134*T134,2)</f>
        <v>100</v>
      </c>
      <c r="W134" s="140">
        <f t="shared" ref="W134:W197" si="14">ROUND(IF(N134="neoceňuje se",+J134*0*V134,J134*N134*V134),2)</f>
        <v>0</v>
      </c>
      <c r="X134" s="141">
        <f t="shared" ref="X134:Y197" si="15">ROUND(W134*1.21,2)</f>
        <v>0</v>
      </c>
      <c r="Y134" s="141">
        <v>0</v>
      </c>
    </row>
    <row r="135" spans="1:25" ht="15" x14ac:dyDescent="0.2">
      <c r="A135" s="372" t="s">
        <v>834</v>
      </c>
      <c r="B135" s="23" t="s">
        <v>334</v>
      </c>
      <c r="C135" s="23" t="s">
        <v>187</v>
      </c>
      <c r="D135" s="139" t="str">
        <f>VLOOKUP(C135,'Seznam HS - nemaš'!$A$1:$B$96,2,FALSE)</f>
        <v>430101</v>
      </c>
      <c r="E135" s="22" t="s">
        <v>847</v>
      </c>
      <c r="F135" s="30" t="s">
        <v>477</v>
      </c>
      <c r="G135" s="373">
        <v>7</v>
      </c>
      <c r="H135" s="28">
        <f>+IF(ISBLANK(I135),0,VLOOKUP(I135,'8Příloha_2_ceník_pravid_úklid'!$B$9:$C$30,2,0))</f>
        <v>7</v>
      </c>
      <c r="I135" s="143" t="s">
        <v>14</v>
      </c>
      <c r="J135" s="245">
        <v>9.02</v>
      </c>
      <c r="K135" s="275" t="s">
        <v>50</v>
      </c>
      <c r="L135" s="156" t="s">
        <v>836</v>
      </c>
      <c r="M135" s="22" t="s">
        <v>49</v>
      </c>
      <c r="N135" s="24">
        <f>IF((VLOOKUP(I135,'8Příloha_2_ceník_pravid_úklid'!$B$9:$I$30,8,0))=0,VLOOKUP(I135,'8Příloha_2_ceník_pravid_úklid'!$B$9:$K$30,10,0),VLOOKUP(I135,'8Příloha_2_ceník_pravid_úklid'!$B$9:$I$30,8,0))</f>
        <v>0</v>
      </c>
      <c r="O135" s="20">
        <v>1</v>
      </c>
      <c r="P135" s="20">
        <f t="shared" si="10"/>
        <v>0.4</v>
      </c>
      <c r="Q135" s="20">
        <v>0</v>
      </c>
      <c r="R135" s="20">
        <v>0</v>
      </c>
      <c r="S135" s="21">
        <f>NETWORKDAYS.INTL(DATE(2018,1,1),DATE(2018,12,31),1,{"2018/1/1";"2018/3/30";"2018/4/2";"2018/5/1";"2018/5/8";"2018/7/5";"2018/7/6";"2018/09/28";"2018/11/17";"2018/12/24";"2018/12/25";"2018/12/26"})</f>
        <v>250</v>
      </c>
      <c r="T135" s="21">
        <f t="shared" si="11"/>
        <v>115</v>
      </c>
      <c r="U135" s="21">
        <f t="shared" si="12"/>
        <v>365</v>
      </c>
      <c r="V135" s="311">
        <f t="shared" si="13"/>
        <v>100</v>
      </c>
      <c r="W135" s="140">
        <f t="shared" si="14"/>
        <v>0</v>
      </c>
      <c r="X135" s="141">
        <f t="shared" si="15"/>
        <v>0</v>
      </c>
      <c r="Y135" s="141">
        <v>0</v>
      </c>
    </row>
    <row r="136" spans="1:25" ht="15" x14ac:dyDescent="0.2">
      <c r="A136" s="372" t="s">
        <v>834</v>
      </c>
      <c r="B136" s="23" t="s">
        <v>334</v>
      </c>
      <c r="C136" s="23"/>
      <c r="D136" s="139">
        <f>VLOOKUP(C136,'Seznam HS - nemaš'!$A$1:$B$96,2,FALSE)</f>
        <v>0</v>
      </c>
      <c r="E136" s="22" t="s">
        <v>848</v>
      </c>
      <c r="F136" s="30" t="s">
        <v>477</v>
      </c>
      <c r="G136" s="373" t="s">
        <v>1747</v>
      </c>
      <c r="H136" s="28">
        <f>+IF(ISBLANK(I136),0,VLOOKUP(I136,'8Příloha_2_ceník_pravid_úklid'!$B$9:$C$30,2,0))</f>
        <v>7</v>
      </c>
      <c r="I136" s="143" t="s">
        <v>14</v>
      </c>
      <c r="J136" s="245">
        <v>9.02</v>
      </c>
      <c r="K136" s="275" t="s">
        <v>50</v>
      </c>
      <c r="L136" s="156" t="s">
        <v>836</v>
      </c>
      <c r="M136" s="22" t="s">
        <v>49</v>
      </c>
      <c r="N136" s="24">
        <f>IF((VLOOKUP(I136,'8Příloha_2_ceník_pravid_úklid'!$B$9:$I$30,8,0))=0,VLOOKUP(I136,'8Příloha_2_ceník_pravid_úklid'!$B$9:$K$30,10,0),VLOOKUP(I136,'8Příloha_2_ceník_pravid_úklid'!$B$9:$I$30,8,0))</f>
        <v>0</v>
      </c>
      <c r="O136" s="20">
        <v>1</v>
      </c>
      <c r="P136" s="20">
        <f t="shared" si="10"/>
        <v>0.4</v>
      </c>
      <c r="Q136" s="20">
        <v>0</v>
      </c>
      <c r="R136" s="20">
        <v>0</v>
      </c>
      <c r="S136" s="21">
        <f>NETWORKDAYS.INTL(DATE(2018,1,1),DATE(2018,12,31),1,{"2018/1/1";"2018/3/30";"2018/4/2";"2018/5/1";"2018/5/8";"2018/7/5";"2018/7/6";"2018/09/28";"2018/11/17";"2018/12/24";"2018/12/25";"2018/12/26"})</f>
        <v>250</v>
      </c>
      <c r="T136" s="21">
        <f t="shared" si="11"/>
        <v>115</v>
      </c>
      <c r="U136" s="21">
        <f t="shared" si="12"/>
        <v>365</v>
      </c>
      <c r="V136" s="311">
        <f t="shared" si="13"/>
        <v>100</v>
      </c>
      <c r="W136" s="140">
        <f t="shared" si="14"/>
        <v>0</v>
      </c>
      <c r="X136" s="141">
        <f t="shared" si="15"/>
        <v>0</v>
      </c>
      <c r="Y136" s="234">
        <v>0</v>
      </c>
    </row>
    <row r="137" spans="1:25" ht="15" x14ac:dyDescent="0.2">
      <c r="A137" s="372" t="s">
        <v>834</v>
      </c>
      <c r="B137" s="23" t="s">
        <v>334</v>
      </c>
      <c r="C137" s="23"/>
      <c r="D137" s="139">
        <f>VLOOKUP(C137,'Seznam HS - nemaš'!$A$1:$B$96,2,FALSE)</f>
        <v>0</v>
      </c>
      <c r="E137" s="22" t="s">
        <v>849</v>
      </c>
      <c r="F137" s="30" t="s">
        <v>494</v>
      </c>
      <c r="G137" s="373" t="s">
        <v>1747</v>
      </c>
      <c r="H137" s="28">
        <f>+IF(ISBLANK(I137),0,VLOOKUP(I137,'8Příloha_2_ceník_pravid_úklid'!$B$9:$C$30,2,0))</f>
        <v>10</v>
      </c>
      <c r="I137" s="143" t="s">
        <v>0</v>
      </c>
      <c r="J137" s="245">
        <v>14.82</v>
      </c>
      <c r="K137" s="275" t="s">
        <v>50</v>
      </c>
      <c r="L137" s="156" t="s">
        <v>836</v>
      </c>
      <c r="M137" s="22" t="s">
        <v>49</v>
      </c>
      <c r="N137" s="24">
        <f>IF((VLOOKUP(I137,'8Příloha_2_ceník_pravid_úklid'!$B$9:$I$30,8,0))=0,VLOOKUP(I137,'8Příloha_2_ceník_pravid_úklid'!$B$9:$K$30,10,0),VLOOKUP(I137,'8Příloha_2_ceník_pravid_úklid'!$B$9:$I$30,8,0))</f>
        <v>0</v>
      </c>
      <c r="O137" s="20">
        <v>1</v>
      </c>
      <c r="P137" s="20">
        <f t="shared" si="10"/>
        <v>0.4</v>
      </c>
      <c r="Q137" s="20">
        <v>0</v>
      </c>
      <c r="R137" s="20">
        <v>0</v>
      </c>
      <c r="S137" s="21">
        <f>NETWORKDAYS.INTL(DATE(2018,1,1),DATE(2018,12,31),1,{"2018/1/1";"2018/3/30";"2018/4/2";"2018/5/1";"2018/5/8";"2018/7/5";"2018/7/6";"2018/09/28";"2018/11/17";"2018/12/24";"2018/12/25";"2018/12/26"})</f>
        <v>250</v>
      </c>
      <c r="T137" s="21">
        <f t="shared" si="11"/>
        <v>115</v>
      </c>
      <c r="U137" s="21">
        <f t="shared" si="12"/>
        <v>365</v>
      </c>
      <c r="V137" s="311">
        <f t="shared" si="13"/>
        <v>100</v>
      </c>
      <c r="W137" s="140">
        <f t="shared" si="14"/>
        <v>0</v>
      </c>
      <c r="X137" s="141">
        <f t="shared" si="15"/>
        <v>0</v>
      </c>
      <c r="Y137" s="234">
        <v>0</v>
      </c>
    </row>
    <row r="138" spans="1:25" ht="15" x14ac:dyDescent="0.2">
      <c r="A138" s="372" t="s">
        <v>834</v>
      </c>
      <c r="B138" s="23" t="s">
        <v>334</v>
      </c>
      <c r="C138" s="23"/>
      <c r="D138" s="139">
        <f>VLOOKUP(C138,'Seznam HS - nemaš'!$A$1:$B$96,2,FALSE)</f>
        <v>0</v>
      </c>
      <c r="E138" s="22" t="s">
        <v>850</v>
      </c>
      <c r="F138" s="30" t="s">
        <v>494</v>
      </c>
      <c r="G138" s="373">
        <v>5</v>
      </c>
      <c r="H138" s="28">
        <f>+IF(ISBLANK(I138),0,VLOOKUP(I138,'8Příloha_2_ceník_pravid_úklid'!$B$9:$C$30,2,0))</f>
        <v>10</v>
      </c>
      <c r="I138" s="143" t="s">
        <v>0</v>
      </c>
      <c r="J138" s="245">
        <v>11.72</v>
      </c>
      <c r="K138" s="275" t="s">
        <v>50</v>
      </c>
      <c r="L138" s="156" t="s">
        <v>836</v>
      </c>
      <c r="M138" s="22" t="s">
        <v>49</v>
      </c>
      <c r="N138" s="24">
        <f>IF((VLOOKUP(I138,'8Příloha_2_ceník_pravid_úklid'!$B$9:$I$30,8,0))=0,VLOOKUP(I138,'8Příloha_2_ceník_pravid_úklid'!$B$9:$K$30,10,0),VLOOKUP(I138,'8Příloha_2_ceník_pravid_úklid'!$B$9:$I$30,8,0))</f>
        <v>0</v>
      </c>
      <c r="O138" s="20">
        <v>1</v>
      </c>
      <c r="P138" s="20">
        <f t="shared" si="10"/>
        <v>0.4</v>
      </c>
      <c r="Q138" s="20">
        <v>0</v>
      </c>
      <c r="R138" s="20">
        <v>0</v>
      </c>
      <c r="S138" s="21">
        <f>NETWORKDAYS.INTL(DATE(2018,1,1),DATE(2018,12,31),1,{"2018/1/1";"2018/3/30";"2018/4/2";"2018/5/1";"2018/5/8";"2018/7/5";"2018/7/6";"2018/09/28";"2018/11/17";"2018/12/24";"2018/12/25";"2018/12/26"})</f>
        <v>250</v>
      </c>
      <c r="T138" s="21">
        <f t="shared" si="11"/>
        <v>115</v>
      </c>
      <c r="U138" s="21">
        <f t="shared" si="12"/>
        <v>365</v>
      </c>
      <c r="V138" s="311">
        <f t="shared" si="13"/>
        <v>100</v>
      </c>
      <c r="W138" s="140">
        <f t="shared" si="14"/>
        <v>0</v>
      </c>
      <c r="X138" s="141">
        <f t="shared" si="15"/>
        <v>0</v>
      </c>
      <c r="Y138" s="141">
        <v>0</v>
      </c>
    </row>
    <row r="139" spans="1:25" ht="15" x14ac:dyDescent="0.2">
      <c r="A139" s="372" t="s">
        <v>834</v>
      </c>
      <c r="B139" s="23" t="s">
        <v>334</v>
      </c>
      <c r="C139" s="23"/>
      <c r="D139" s="139">
        <f>VLOOKUP(C139,'Seznam HS - nemaš'!$A$1:$B$96,2,FALSE)</f>
        <v>0</v>
      </c>
      <c r="E139" s="22" t="s">
        <v>851</v>
      </c>
      <c r="F139" s="30" t="s">
        <v>477</v>
      </c>
      <c r="G139" s="373">
        <v>5</v>
      </c>
      <c r="H139" s="28">
        <f>+IF(ISBLANK(I139),0,VLOOKUP(I139,'8Příloha_2_ceník_pravid_úklid'!$B$9:$C$30,2,0))</f>
        <v>7</v>
      </c>
      <c r="I139" s="143" t="s">
        <v>14</v>
      </c>
      <c r="J139" s="245">
        <v>7.68</v>
      </c>
      <c r="K139" s="275" t="s">
        <v>50</v>
      </c>
      <c r="L139" s="156" t="s">
        <v>836</v>
      </c>
      <c r="M139" s="22" t="s">
        <v>49</v>
      </c>
      <c r="N139" s="24">
        <f>IF((VLOOKUP(I139,'8Příloha_2_ceník_pravid_úklid'!$B$9:$I$30,8,0))=0,VLOOKUP(I139,'8Příloha_2_ceník_pravid_úklid'!$B$9:$K$30,10,0),VLOOKUP(I139,'8Příloha_2_ceník_pravid_úklid'!$B$9:$I$30,8,0))</f>
        <v>0</v>
      </c>
      <c r="O139" s="20">
        <v>1</v>
      </c>
      <c r="P139" s="20">
        <f t="shared" si="10"/>
        <v>0.4</v>
      </c>
      <c r="Q139" s="20">
        <v>0</v>
      </c>
      <c r="R139" s="20">
        <v>0</v>
      </c>
      <c r="S139" s="21">
        <f>NETWORKDAYS.INTL(DATE(2018,1,1),DATE(2018,12,31),1,{"2018/1/1";"2018/3/30";"2018/4/2";"2018/5/1";"2018/5/8";"2018/7/5";"2018/7/6";"2018/09/28";"2018/11/17";"2018/12/24";"2018/12/25";"2018/12/26"})</f>
        <v>250</v>
      </c>
      <c r="T139" s="21">
        <f t="shared" si="11"/>
        <v>115</v>
      </c>
      <c r="U139" s="21">
        <f t="shared" si="12"/>
        <v>365</v>
      </c>
      <c r="V139" s="311">
        <f t="shared" si="13"/>
        <v>100</v>
      </c>
      <c r="W139" s="140">
        <f t="shared" si="14"/>
        <v>0</v>
      </c>
      <c r="X139" s="141">
        <f t="shared" si="15"/>
        <v>0</v>
      </c>
      <c r="Y139" s="141">
        <v>0</v>
      </c>
    </row>
    <row r="140" spans="1:25" ht="15" x14ac:dyDescent="0.2">
      <c r="A140" s="374" t="s">
        <v>834</v>
      </c>
      <c r="B140" s="236" t="s">
        <v>334</v>
      </c>
      <c r="C140" s="236"/>
      <c r="D140" s="535">
        <f>VLOOKUP(C140,'Seznam HS - nemaš'!$A$1:$B$96,2,FALSE)</f>
        <v>0</v>
      </c>
      <c r="E140" s="237" t="s">
        <v>852</v>
      </c>
      <c r="F140" s="303" t="s">
        <v>554</v>
      </c>
      <c r="G140" s="303"/>
      <c r="H140" s="224">
        <f>+IF(ISBLANK(I140),0,VLOOKUP(I140,'8Příloha_2_ceník_pravid_úklid'!$B$9:$C$30,2,0))</f>
        <v>0</v>
      </c>
      <c r="I140" s="273"/>
      <c r="J140" s="239">
        <v>4.41</v>
      </c>
      <c r="K140" s="240" t="s">
        <v>50</v>
      </c>
      <c r="L140" s="310" t="s">
        <v>66</v>
      </c>
      <c r="M140" s="237" t="s">
        <v>49</v>
      </c>
      <c r="N140" s="229" t="s">
        <v>501</v>
      </c>
      <c r="O140" s="230">
        <v>0</v>
      </c>
      <c r="P140" s="230">
        <v>0</v>
      </c>
      <c r="Q140" s="230">
        <v>0</v>
      </c>
      <c r="R140" s="230">
        <v>0</v>
      </c>
      <c r="S140" s="231">
        <f>NETWORKDAYS.INTL(DATE(2018,1,1),DATE(2018,12,31),1,{"2018/1/1";"2018/3/30";"2018/4/2";"2018/5/1";"2018/5/8";"2018/7/5";"2018/7/6";"2018/09/28";"2018/11/17";"2018/12/24";"2018/12/25";"2018/12/26"})</f>
        <v>250</v>
      </c>
      <c r="T140" s="231">
        <f t="shared" si="11"/>
        <v>115</v>
      </c>
      <c r="U140" s="231">
        <f t="shared" si="12"/>
        <v>365</v>
      </c>
      <c r="V140" s="312">
        <f t="shared" si="13"/>
        <v>0</v>
      </c>
      <c r="W140" s="233">
        <f t="shared" si="14"/>
        <v>0</v>
      </c>
      <c r="X140" s="234">
        <f t="shared" si="15"/>
        <v>0</v>
      </c>
      <c r="Y140" s="234">
        <f t="shared" si="15"/>
        <v>0</v>
      </c>
    </row>
    <row r="141" spans="1:25" ht="15" x14ac:dyDescent="0.2">
      <c r="A141" s="353" t="s">
        <v>767</v>
      </c>
      <c r="B141" s="23" t="s">
        <v>334</v>
      </c>
      <c r="C141" s="23"/>
      <c r="D141" s="139">
        <f>VLOOKUP(C141,'Seznam HS - nemaš'!$A$1:$B$96,2,FALSE)</f>
        <v>0</v>
      </c>
      <c r="E141" s="22" t="s">
        <v>853</v>
      </c>
      <c r="F141" s="30" t="s">
        <v>53</v>
      </c>
      <c r="G141" s="30" t="s">
        <v>854</v>
      </c>
      <c r="H141" s="28">
        <f>+IF(ISBLANK(I141),0,VLOOKUP(I141,'8Příloha_2_ceník_pravid_úklid'!$B$9:$C$30,2,0))</f>
        <v>6</v>
      </c>
      <c r="I141" s="143" t="s">
        <v>1</v>
      </c>
      <c r="J141" s="245">
        <v>64.77</v>
      </c>
      <c r="K141" s="275" t="s">
        <v>50</v>
      </c>
      <c r="L141" s="156" t="s">
        <v>21</v>
      </c>
      <c r="M141" s="22" t="s">
        <v>49</v>
      </c>
      <c r="N141" s="24">
        <f>IF((VLOOKUP(I141,'8Příloha_2_ceník_pravid_úklid'!$B$9:$I$30,8,0))=0,VLOOKUP(I141,'8Příloha_2_ceník_pravid_úklid'!$B$9:$K$30,10,0),VLOOKUP(I141,'8Příloha_2_ceník_pravid_úklid'!$B$9:$I$30,8,0))</f>
        <v>0</v>
      </c>
      <c r="O141" s="20">
        <v>1</v>
      </c>
      <c r="P141" s="20">
        <v>1</v>
      </c>
      <c r="Q141" s="20">
        <v>0</v>
      </c>
      <c r="R141" s="20">
        <v>0</v>
      </c>
      <c r="S141" s="21">
        <f>NETWORKDAYS.INTL(DATE(2018,1,1),DATE(2018,12,31),1,{"2018/1/1";"2018/3/30";"2018/4/2";"2018/5/1";"2018/5/8";"2018/7/5";"2018/7/6";"2018/09/28";"2018/11/17";"2018/12/24";"2018/12/25";"2018/12/26"})</f>
        <v>250</v>
      </c>
      <c r="T141" s="21">
        <f t="shared" si="11"/>
        <v>115</v>
      </c>
      <c r="U141" s="21">
        <f t="shared" si="12"/>
        <v>365</v>
      </c>
      <c r="V141" s="311">
        <f t="shared" si="13"/>
        <v>250</v>
      </c>
      <c r="W141" s="140">
        <f t="shared" si="14"/>
        <v>0</v>
      </c>
      <c r="X141" s="141">
        <f t="shared" si="15"/>
        <v>0</v>
      </c>
      <c r="Y141" s="141">
        <v>0</v>
      </c>
    </row>
    <row r="142" spans="1:25" ht="15" x14ac:dyDescent="0.2">
      <c r="A142" s="354" t="s">
        <v>670</v>
      </c>
      <c r="B142" s="236" t="s">
        <v>334</v>
      </c>
      <c r="C142" s="236"/>
      <c r="D142" s="535">
        <f>VLOOKUP(C142,'Seznam HS - nemaš'!$A$1:$B$96,2,FALSE)</f>
        <v>0</v>
      </c>
      <c r="E142" s="237" t="s">
        <v>855</v>
      </c>
      <c r="F142" s="303" t="s">
        <v>856</v>
      </c>
      <c r="G142" s="303" t="s">
        <v>854</v>
      </c>
      <c r="H142" s="224">
        <f>+IF(ISBLANK(I142),0,VLOOKUP(I142,'8Příloha_2_ceník_pravid_úklid'!$B$9:$C$30,2,0))</f>
        <v>0</v>
      </c>
      <c r="I142" s="273"/>
      <c r="J142" s="239">
        <v>53.42</v>
      </c>
      <c r="K142" s="240"/>
      <c r="L142" s="242" t="s">
        <v>387</v>
      </c>
      <c r="M142" s="237"/>
      <c r="N142" s="229" t="s">
        <v>501</v>
      </c>
      <c r="O142" s="230">
        <v>0</v>
      </c>
      <c r="P142" s="230">
        <v>0</v>
      </c>
      <c r="Q142" s="230">
        <v>0</v>
      </c>
      <c r="R142" s="230">
        <v>0</v>
      </c>
      <c r="S142" s="231">
        <f>NETWORKDAYS.INTL(DATE(2018,1,1),DATE(2018,12,31),1,{"2018/1/1";"2018/3/30";"2018/4/2";"2018/5/1";"2018/5/8";"2018/7/5";"2018/7/6";"2018/09/28";"2018/11/17";"2018/12/24";"2018/12/25";"2018/12/26"})</f>
        <v>250</v>
      </c>
      <c r="T142" s="231">
        <f t="shared" si="11"/>
        <v>115</v>
      </c>
      <c r="U142" s="231">
        <f t="shared" si="12"/>
        <v>365</v>
      </c>
      <c r="V142" s="312">
        <f t="shared" si="13"/>
        <v>0</v>
      </c>
      <c r="W142" s="233">
        <f t="shared" si="14"/>
        <v>0</v>
      </c>
      <c r="X142" s="234">
        <f t="shared" si="15"/>
        <v>0</v>
      </c>
      <c r="Y142" s="234">
        <f t="shared" si="15"/>
        <v>0</v>
      </c>
    </row>
    <row r="143" spans="1:25" ht="15" x14ac:dyDescent="0.2">
      <c r="A143" s="375" t="s">
        <v>670</v>
      </c>
      <c r="B143" s="252" t="s">
        <v>334</v>
      </c>
      <c r="C143" s="252"/>
      <c r="D143" s="542">
        <f>VLOOKUP(C143,'Seznam HS - nemaš'!$A$1:$B$96,2,FALSE)</f>
        <v>0</v>
      </c>
      <c r="E143" s="253" t="s">
        <v>857</v>
      </c>
      <c r="F143" s="296" t="s">
        <v>858</v>
      </c>
      <c r="G143" s="296" t="s">
        <v>859</v>
      </c>
      <c r="H143" s="296">
        <f>+IF(ISBLANK(I143),0,VLOOKUP(I143,'8Příloha_2_ceník_pravid_úklid'!$B$9:$C$30,2,0))</f>
        <v>0</v>
      </c>
      <c r="I143" s="256"/>
      <c r="J143" s="255">
        <v>4.88</v>
      </c>
      <c r="K143" s="258"/>
      <c r="L143" s="259" t="s">
        <v>387</v>
      </c>
      <c r="M143" s="253"/>
      <c r="N143" s="260" t="s">
        <v>501</v>
      </c>
      <c r="O143" s="261">
        <v>0</v>
      </c>
      <c r="P143" s="261">
        <v>0</v>
      </c>
      <c r="Q143" s="261">
        <v>0</v>
      </c>
      <c r="R143" s="261">
        <v>0</v>
      </c>
      <c r="S143" s="262">
        <f>NETWORKDAYS.INTL(DATE(2018,1,1),DATE(2018,12,31),1,{"2018/1/1";"2018/3/30";"2018/4/2";"2018/5/1";"2018/5/8";"2018/7/5";"2018/7/6";"2018/09/28";"2018/11/17";"2018/12/24";"2018/12/25";"2018/12/26"})</f>
        <v>250</v>
      </c>
      <c r="T143" s="262">
        <f t="shared" si="11"/>
        <v>115</v>
      </c>
      <c r="U143" s="262">
        <f t="shared" si="12"/>
        <v>365</v>
      </c>
      <c r="V143" s="376">
        <f t="shared" si="13"/>
        <v>0</v>
      </c>
      <c r="W143" s="264">
        <f t="shared" si="14"/>
        <v>0</v>
      </c>
      <c r="X143" s="265">
        <f t="shared" si="15"/>
        <v>0</v>
      </c>
      <c r="Y143" s="265">
        <f t="shared" si="15"/>
        <v>0</v>
      </c>
    </row>
    <row r="144" spans="1:25" ht="15" x14ac:dyDescent="0.2">
      <c r="A144" s="377" t="s">
        <v>860</v>
      </c>
      <c r="B144" s="32" t="s">
        <v>54</v>
      </c>
      <c r="C144" s="32" t="s">
        <v>193</v>
      </c>
      <c r="D144" s="139" t="str">
        <f>VLOOKUP(C144,'Seznam HS - nemaš'!$A$1:$B$96,2,FALSE)</f>
        <v>432100</v>
      </c>
      <c r="E144" s="29" t="s">
        <v>861</v>
      </c>
      <c r="F144" s="28" t="s">
        <v>567</v>
      </c>
      <c r="G144" s="28" t="s">
        <v>568</v>
      </c>
      <c r="H144" s="28">
        <f>+IF(ISBLANK(I144),0,VLOOKUP(I144,'8Příloha_2_ceník_pravid_úklid'!$B$9:$C$30,2,0))</f>
        <v>1</v>
      </c>
      <c r="I144" s="149" t="s">
        <v>78</v>
      </c>
      <c r="J144" s="172">
        <v>18.194500000000001</v>
      </c>
      <c r="K144" s="285" t="s">
        <v>51</v>
      </c>
      <c r="L144" s="152" t="s">
        <v>537</v>
      </c>
      <c r="M144" s="29" t="s">
        <v>49</v>
      </c>
      <c r="N144" s="24">
        <f>IF((VLOOKUP(I144,'8Příloha_2_ceník_pravid_úklid'!$B$9:$I$30,8,0))=0,VLOOKUP(I144,'8Příloha_2_ceník_pravid_úklid'!$B$9:$K$30,10,0),VLOOKUP(I144,'8Příloha_2_ceník_pravid_úklid'!$B$9:$I$30,8,0))</f>
        <v>0</v>
      </c>
      <c r="O144" s="25">
        <v>1</v>
      </c>
      <c r="P144" s="25">
        <v>1</v>
      </c>
      <c r="Q144" s="25">
        <v>1</v>
      </c>
      <c r="R144" s="25">
        <v>1</v>
      </c>
      <c r="S144" s="26">
        <f>NETWORKDAYS.INTL(DATE(2018,1,1),DATE(2018,12,31),1,{"2018/1/1";"2018/3/30";"2018/4/2";"2018/5/1";"2018/5/8";"2018/7/5";"2018/7/6";"2018/09/28";"2018/11/17";"2018/12/24";"2018/12/25";"2018/12/26"})</f>
        <v>250</v>
      </c>
      <c r="T144" s="26">
        <f t="shared" si="11"/>
        <v>115</v>
      </c>
      <c r="U144" s="26">
        <f t="shared" si="12"/>
        <v>365</v>
      </c>
      <c r="V144" s="314">
        <f t="shared" si="13"/>
        <v>365</v>
      </c>
      <c r="W144" s="173">
        <f t="shared" si="14"/>
        <v>0</v>
      </c>
      <c r="X144" s="174">
        <f t="shared" si="15"/>
        <v>0</v>
      </c>
      <c r="Y144" s="141">
        <v>0</v>
      </c>
    </row>
    <row r="145" spans="1:25" ht="15" x14ac:dyDescent="0.2">
      <c r="A145" s="353" t="s">
        <v>860</v>
      </c>
      <c r="B145" s="23" t="s">
        <v>54</v>
      </c>
      <c r="C145" s="32" t="s">
        <v>193</v>
      </c>
      <c r="D145" s="139" t="str">
        <f>VLOOKUP(C145,'Seznam HS - nemaš'!$A$1:$B$96,2,FALSE)</f>
        <v>432100</v>
      </c>
      <c r="E145" s="22" t="s">
        <v>862</v>
      </c>
      <c r="F145" s="30" t="s">
        <v>724</v>
      </c>
      <c r="G145" s="30"/>
      <c r="H145" s="28">
        <f>+IF(ISBLANK(I145),0,VLOOKUP(I145,'8Příloha_2_ceník_pravid_úklid'!$B$9:$C$30,2,0))</f>
        <v>7</v>
      </c>
      <c r="I145" s="143" t="s">
        <v>14</v>
      </c>
      <c r="J145" s="145">
        <v>2.84</v>
      </c>
      <c r="K145" s="275" t="s">
        <v>50</v>
      </c>
      <c r="L145" s="156" t="s">
        <v>537</v>
      </c>
      <c r="M145" s="22" t="s">
        <v>49</v>
      </c>
      <c r="N145" s="24">
        <f>IF((VLOOKUP(I145,'8Příloha_2_ceník_pravid_úklid'!$B$9:$I$30,8,0))=0,VLOOKUP(I145,'8Příloha_2_ceník_pravid_úklid'!$B$9:$K$30,10,0),VLOOKUP(I145,'8Příloha_2_ceník_pravid_úklid'!$B$9:$I$30,8,0))</f>
        <v>0</v>
      </c>
      <c r="O145" s="20">
        <v>1</v>
      </c>
      <c r="P145" s="20">
        <v>1</v>
      </c>
      <c r="Q145" s="20">
        <v>1</v>
      </c>
      <c r="R145" s="20">
        <v>1</v>
      </c>
      <c r="S145" s="21">
        <f>NETWORKDAYS.INTL(DATE(2018,1,1),DATE(2018,12,31),1,{"2018/1/1";"2018/3/30";"2018/4/2";"2018/5/1";"2018/5/8";"2018/7/5";"2018/7/6";"2018/09/28";"2018/11/17";"2018/12/24";"2018/12/25";"2018/12/26"})</f>
        <v>250</v>
      </c>
      <c r="T145" s="21">
        <f t="shared" si="11"/>
        <v>115</v>
      </c>
      <c r="U145" s="21">
        <f t="shared" si="12"/>
        <v>365</v>
      </c>
      <c r="V145" s="311">
        <f t="shared" si="13"/>
        <v>365</v>
      </c>
      <c r="W145" s="140">
        <f t="shared" si="14"/>
        <v>0</v>
      </c>
      <c r="X145" s="141">
        <f t="shared" si="15"/>
        <v>0</v>
      </c>
      <c r="Y145" s="141">
        <v>0</v>
      </c>
    </row>
    <row r="146" spans="1:25" ht="15" x14ac:dyDescent="0.2">
      <c r="A146" s="354" t="s">
        <v>860</v>
      </c>
      <c r="B146" s="236" t="s">
        <v>54</v>
      </c>
      <c r="C146" s="222" t="s">
        <v>193</v>
      </c>
      <c r="D146" s="535" t="str">
        <f>VLOOKUP(C146,'Seznam HS - nemaš'!$A$1:$B$96,2,FALSE)</f>
        <v>432100</v>
      </c>
      <c r="E146" s="237" t="s">
        <v>863</v>
      </c>
      <c r="F146" s="303" t="s">
        <v>398</v>
      </c>
      <c r="G146" s="303"/>
      <c r="H146" s="224">
        <f>+IF(ISBLANK(I146),0,VLOOKUP(I146,'8Příloha_2_ceník_pravid_úklid'!$B$9:$C$30,2,0))</f>
        <v>0</v>
      </c>
      <c r="I146" s="273"/>
      <c r="J146" s="241"/>
      <c r="K146" s="240"/>
      <c r="L146" s="242" t="s">
        <v>387</v>
      </c>
      <c r="M146" s="237"/>
      <c r="N146" s="229" t="s">
        <v>501</v>
      </c>
      <c r="O146" s="230">
        <v>0</v>
      </c>
      <c r="P146" s="230">
        <v>0</v>
      </c>
      <c r="Q146" s="230">
        <v>0</v>
      </c>
      <c r="R146" s="230">
        <v>0</v>
      </c>
      <c r="S146" s="231">
        <f>NETWORKDAYS.INTL(DATE(2018,1,1),DATE(2018,12,31),1,{"2018/1/1";"2018/3/30";"2018/4/2";"2018/5/1";"2018/5/8";"2018/7/5";"2018/7/6";"2018/09/28";"2018/11/17";"2018/12/24";"2018/12/25";"2018/12/26"})</f>
        <v>250</v>
      </c>
      <c r="T146" s="231">
        <f t="shared" si="11"/>
        <v>115</v>
      </c>
      <c r="U146" s="231">
        <f t="shared" si="12"/>
        <v>365</v>
      </c>
      <c r="V146" s="312">
        <f t="shared" si="13"/>
        <v>0</v>
      </c>
      <c r="W146" s="233">
        <f t="shared" si="14"/>
        <v>0</v>
      </c>
      <c r="X146" s="234">
        <f t="shared" si="15"/>
        <v>0</v>
      </c>
      <c r="Y146" s="234">
        <f t="shared" si="15"/>
        <v>0</v>
      </c>
    </row>
    <row r="147" spans="1:25" ht="15" x14ac:dyDescent="0.2">
      <c r="A147" s="353" t="s">
        <v>860</v>
      </c>
      <c r="B147" s="23" t="s">
        <v>54</v>
      </c>
      <c r="C147" s="32" t="s">
        <v>193</v>
      </c>
      <c r="D147" s="139" t="str">
        <f>VLOOKUP(C147,'Seznam HS - nemaš'!$A$1:$B$96,2,FALSE)</f>
        <v>432100</v>
      </c>
      <c r="E147" s="22" t="s">
        <v>864</v>
      </c>
      <c r="F147" s="30" t="s">
        <v>552</v>
      </c>
      <c r="G147" s="30" t="s">
        <v>553</v>
      </c>
      <c r="H147" s="28">
        <f>+IF(ISBLANK(I147),0,VLOOKUP(I147,'8Příloha_2_ceník_pravid_úklid'!$B$9:$C$30,2,0))</f>
        <v>16</v>
      </c>
      <c r="I147" s="143" t="s">
        <v>6</v>
      </c>
      <c r="J147" s="145">
        <v>5.75</v>
      </c>
      <c r="K147" s="275" t="s">
        <v>51</v>
      </c>
      <c r="L147" s="156" t="s">
        <v>22</v>
      </c>
      <c r="M147" s="22" t="s">
        <v>49</v>
      </c>
      <c r="N147" s="24">
        <f>IF((VLOOKUP(I147,'8Příloha_2_ceník_pravid_úklid'!$B$9:$I$30,8,0))=0,VLOOKUP(I147,'8Příloha_2_ceník_pravid_úklid'!$B$9:$K$30,10,0),VLOOKUP(I147,'8Příloha_2_ceník_pravid_úklid'!$B$9:$I$30,8,0))</f>
        <v>0</v>
      </c>
      <c r="O147" s="20">
        <v>2</v>
      </c>
      <c r="P147" s="20">
        <v>1</v>
      </c>
      <c r="Q147" s="20">
        <v>2</v>
      </c>
      <c r="R147" s="20">
        <v>1</v>
      </c>
      <c r="S147" s="21">
        <f>NETWORKDAYS.INTL(DATE(2018,1,1),DATE(2018,12,31),1,{"2018/1/1";"2018/3/30";"2018/4/2";"2018/5/1";"2018/5/8";"2018/7/5";"2018/7/6";"2018/09/28";"2018/11/17";"2018/12/24";"2018/12/25";"2018/12/26"})</f>
        <v>250</v>
      </c>
      <c r="T147" s="21">
        <f t="shared" si="11"/>
        <v>115</v>
      </c>
      <c r="U147" s="21">
        <f t="shared" si="12"/>
        <v>365</v>
      </c>
      <c r="V147" s="311">
        <f t="shared" si="13"/>
        <v>730</v>
      </c>
      <c r="W147" s="140">
        <f t="shared" si="14"/>
        <v>0</v>
      </c>
      <c r="X147" s="141">
        <f t="shared" si="15"/>
        <v>0</v>
      </c>
      <c r="Y147" s="141">
        <v>0</v>
      </c>
    </row>
    <row r="148" spans="1:25" ht="15" x14ac:dyDescent="0.2">
      <c r="A148" s="353" t="s">
        <v>860</v>
      </c>
      <c r="B148" s="23" t="s">
        <v>54</v>
      </c>
      <c r="C148" s="32" t="s">
        <v>193</v>
      </c>
      <c r="D148" s="139" t="str">
        <f>VLOOKUP(C148,'Seznam HS - nemaš'!$A$1:$B$96,2,FALSE)</f>
        <v>432100</v>
      </c>
      <c r="E148" s="22" t="s">
        <v>865</v>
      </c>
      <c r="F148" s="30" t="s">
        <v>437</v>
      </c>
      <c r="G148" s="30"/>
      <c r="H148" s="28">
        <f>+IF(ISBLANK(I148),0,VLOOKUP(I148,'8Příloha_2_ceník_pravid_úklid'!$B$9:$C$30,2,0))</f>
        <v>7</v>
      </c>
      <c r="I148" s="143" t="s">
        <v>14</v>
      </c>
      <c r="J148" s="145">
        <v>1.84</v>
      </c>
      <c r="K148" s="275" t="s">
        <v>50</v>
      </c>
      <c r="L148" s="156" t="s">
        <v>22</v>
      </c>
      <c r="M148" s="22" t="s">
        <v>49</v>
      </c>
      <c r="N148" s="24">
        <f>IF((VLOOKUP(I148,'8Příloha_2_ceník_pravid_úklid'!$B$9:$I$30,8,0))=0,VLOOKUP(I148,'8Příloha_2_ceník_pravid_úklid'!$B$9:$K$30,10,0),VLOOKUP(I148,'8Příloha_2_ceník_pravid_úklid'!$B$9:$I$30,8,0))</f>
        <v>0</v>
      </c>
      <c r="O148" s="20">
        <v>2</v>
      </c>
      <c r="P148" s="20">
        <v>1</v>
      </c>
      <c r="Q148" s="20">
        <v>2</v>
      </c>
      <c r="R148" s="20">
        <v>1</v>
      </c>
      <c r="S148" s="21">
        <f>NETWORKDAYS.INTL(DATE(2018,1,1),DATE(2018,12,31),1,{"2018/1/1";"2018/3/30";"2018/4/2";"2018/5/1";"2018/5/8";"2018/7/5";"2018/7/6";"2018/09/28";"2018/11/17";"2018/12/24";"2018/12/25";"2018/12/26"})</f>
        <v>250</v>
      </c>
      <c r="T148" s="21">
        <f t="shared" si="11"/>
        <v>115</v>
      </c>
      <c r="U148" s="21">
        <f t="shared" si="12"/>
        <v>365</v>
      </c>
      <c r="V148" s="311">
        <f t="shared" si="13"/>
        <v>730</v>
      </c>
      <c r="W148" s="140">
        <f t="shared" si="14"/>
        <v>0</v>
      </c>
      <c r="X148" s="141">
        <f t="shared" si="15"/>
        <v>0</v>
      </c>
      <c r="Y148" s="141">
        <v>0</v>
      </c>
    </row>
    <row r="149" spans="1:25" ht="15" x14ac:dyDescent="0.2">
      <c r="A149" s="353" t="s">
        <v>860</v>
      </c>
      <c r="B149" s="23" t="s">
        <v>54</v>
      </c>
      <c r="C149" s="32" t="s">
        <v>193</v>
      </c>
      <c r="D149" s="139" t="str">
        <f>VLOOKUP(C149,'Seznam HS - nemaš'!$A$1:$B$96,2,FALSE)</f>
        <v>432100</v>
      </c>
      <c r="E149" s="22" t="s">
        <v>866</v>
      </c>
      <c r="F149" s="30" t="s">
        <v>437</v>
      </c>
      <c r="G149" s="30" t="s">
        <v>867</v>
      </c>
      <c r="H149" s="28">
        <f>+IF(ISBLANK(I149),0,VLOOKUP(I149,'8Příloha_2_ceník_pravid_úklid'!$B$9:$C$30,2,0))</f>
        <v>7</v>
      </c>
      <c r="I149" s="143" t="s">
        <v>14</v>
      </c>
      <c r="J149" s="145">
        <v>2.65</v>
      </c>
      <c r="K149" s="275" t="s">
        <v>50</v>
      </c>
      <c r="L149" s="156" t="s">
        <v>22</v>
      </c>
      <c r="M149" s="22" t="s">
        <v>49</v>
      </c>
      <c r="N149" s="24">
        <f>IF((VLOOKUP(I149,'8Příloha_2_ceník_pravid_úklid'!$B$9:$I$30,8,0))=0,VLOOKUP(I149,'8Příloha_2_ceník_pravid_úklid'!$B$9:$K$30,10,0),VLOOKUP(I149,'8Příloha_2_ceník_pravid_úklid'!$B$9:$I$30,8,0))</f>
        <v>0</v>
      </c>
      <c r="O149" s="20">
        <v>2</v>
      </c>
      <c r="P149" s="20">
        <v>1</v>
      </c>
      <c r="Q149" s="20">
        <v>2</v>
      </c>
      <c r="R149" s="20">
        <v>1</v>
      </c>
      <c r="S149" s="21">
        <f>NETWORKDAYS.INTL(DATE(2018,1,1),DATE(2018,12,31),1,{"2018/1/1";"2018/3/30";"2018/4/2";"2018/5/1";"2018/5/8";"2018/7/5";"2018/7/6";"2018/09/28";"2018/11/17";"2018/12/24";"2018/12/25";"2018/12/26"})</f>
        <v>250</v>
      </c>
      <c r="T149" s="21">
        <f t="shared" si="11"/>
        <v>115</v>
      </c>
      <c r="U149" s="21">
        <f t="shared" si="12"/>
        <v>365</v>
      </c>
      <c r="V149" s="311">
        <f t="shared" si="13"/>
        <v>730</v>
      </c>
      <c r="W149" s="140">
        <f t="shared" si="14"/>
        <v>0</v>
      </c>
      <c r="X149" s="141">
        <f t="shared" si="15"/>
        <v>0</v>
      </c>
      <c r="Y149" s="141">
        <v>0</v>
      </c>
    </row>
    <row r="150" spans="1:25" ht="15" x14ac:dyDescent="0.2">
      <c r="A150" s="354" t="s">
        <v>860</v>
      </c>
      <c r="B150" s="236" t="s">
        <v>54</v>
      </c>
      <c r="C150" s="222" t="s">
        <v>193</v>
      </c>
      <c r="D150" s="535" t="str">
        <f>VLOOKUP(C150,'Seznam HS - nemaš'!$A$1:$B$96,2,FALSE)</f>
        <v>432100</v>
      </c>
      <c r="E150" s="237" t="s">
        <v>868</v>
      </c>
      <c r="F150" s="303" t="s">
        <v>554</v>
      </c>
      <c r="G150" s="303"/>
      <c r="H150" s="224">
        <f>+IF(ISBLANK(I150),0,VLOOKUP(I150,'8Příloha_2_ceník_pravid_úklid'!$B$9:$C$30,2,0))</f>
        <v>0</v>
      </c>
      <c r="I150" s="273"/>
      <c r="J150" s="241">
        <v>1.35</v>
      </c>
      <c r="K150" s="240" t="s">
        <v>50</v>
      </c>
      <c r="L150" s="310" t="s">
        <v>66</v>
      </c>
      <c r="M150" s="237" t="s">
        <v>49</v>
      </c>
      <c r="N150" s="229" t="s">
        <v>501</v>
      </c>
      <c r="O150" s="230">
        <v>0</v>
      </c>
      <c r="P150" s="230">
        <v>0</v>
      </c>
      <c r="Q150" s="230">
        <v>0</v>
      </c>
      <c r="R150" s="230">
        <v>0</v>
      </c>
      <c r="S150" s="231">
        <f>NETWORKDAYS.INTL(DATE(2018,1,1),DATE(2018,12,31),1,{"2018/1/1";"2018/3/30";"2018/4/2";"2018/5/1";"2018/5/8";"2018/7/5";"2018/7/6";"2018/09/28";"2018/11/17";"2018/12/24";"2018/12/25";"2018/12/26"})</f>
        <v>250</v>
      </c>
      <c r="T150" s="231">
        <f t="shared" si="11"/>
        <v>115</v>
      </c>
      <c r="U150" s="231">
        <f t="shared" si="12"/>
        <v>365</v>
      </c>
      <c r="V150" s="312">
        <f t="shared" si="13"/>
        <v>0</v>
      </c>
      <c r="W150" s="233">
        <f t="shared" si="14"/>
        <v>0</v>
      </c>
      <c r="X150" s="234">
        <f t="shared" si="15"/>
        <v>0</v>
      </c>
      <c r="Y150" s="234">
        <f t="shared" si="15"/>
        <v>0</v>
      </c>
    </row>
    <row r="151" spans="1:25" ht="15" x14ac:dyDescent="0.2">
      <c r="A151" s="353" t="s">
        <v>860</v>
      </c>
      <c r="B151" s="23" t="s">
        <v>54</v>
      </c>
      <c r="C151" s="32" t="s">
        <v>193</v>
      </c>
      <c r="D151" s="139" t="str">
        <f>VLOOKUP(C151,'Seznam HS - nemaš'!$A$1:$B$96,2,FALSE)</f>
        <v>432100</v>
      </c>
      <c r="E151" s="22" t="s">
        <v>869</v>
      </c>
      <c r="F151" s="30" t="s">
        <v>437</v>
      </c>
      <c r="G151" s="30" t="s">
        <v>444</v>
      </c>
      <c r="H151" s="28">
        <f>+IF(ISBLANK(I151),0,VLOOKUP(I151,'8Příloha_2_ceník_pravid_úklid'!$B$9:$C$30,2,0))</f>
        <v>7</v>
      </c>
      <c r="I151" s="143" t="s">
        <v>14</v>
      </c>
      <c r="J151" s="145">
        <v>4.1900000000000004</v>
      </c>
      <c r="K151" s="275" t="s">
        <v>50</v>
      </c>
      <c r="L151" s="156" t="s">
        <v>22</v>
      </c>
      <c r="M151" s="22" t="s">
        <v>49</v>
      </c>
      <c r="N151" s="24">
        <f>IF((VLOOKUP(I151,'8Příloha_2_ceník_pravid_úklid'!$B$9:$I$30,8,0))=0,VLOOKUP(I151,'8Příloha_2_ceník_pravid_úklid'!$B$9:$K$30,10,0),VLOOKUP(I151,'8Příloha_2_ceník_pravid_úklid'!$B$9:$I$30,8,0))</f>
        <v>0</v>
      </c>
      <c r="O151" s="20">
        <v>2</v>
      </c>
      <c r="P151" s="20">
        <v>1</v>
      </c>
      <c r="Q151" s="20">
        <v>2</v>
      </c>
      <c r="R151" s="20">
        <v>1</v>
      </c>
      <c r="S151" s="21">
        <f>NETWORKDAYS.INTL(DATE(2018,1,1),DATE(2018,12,31),1,{"2018/1/1";"2018/3/30";"2018/4/2";"2018/5/1";"2018/5/8";"2018/7/5";"2018/7/6";"2018/09/28";"2018/11/17";"2018/12/24";"2018/12/25";"2018/12/26"})</f>
        <v>250</v>
      </c>
      <c r="T151" s="21">
        <f t="shared" si="11"/>
        <v>115</v>
      </c>
      <c r="U151" s="21">
        <f t="shared" si="12"/>
        <v>365</v>
      </c>
      <c r="V151" s="311">
        <f t="shared" si="13"/>
        <v>730</v>
      </c>
      <c r="W151" s="140">
        <f t="shared" si="14"/>
        <v>0</v>
      </c>
      <c r="X151" s="141">
        <f t="shared" si="15"/>
        <v>0</v>
      </c>
      <c r="Y151" s="141">
        <v>0</v>
      </c>
    </row>
    <row r="152" spans="1:25" ht="15" x14ac:dyDescent="0.2">
      <c r="A152" s="353" t="s">
        <v>860</v>
      </c>
      <c r="B152" s="23" t="s">
        <v>54</v>
      </c>
      <c r="C152" s="32" t="s">
        <v>193</v>
      </c>
      <c r="D152" s="139" t="str">
        <f>VLOOKUP(C152,'Seznam HS - nemaš'!$A$1:$B$96,2,FALSE)</f>
        <v>432100</v>
      </c>
      <c r="E152" s="22" t="s">
        <v>870</v>
      </c>
      <c r="F152" s="30" t="s">
        <v>53</v>
      </c>
      <c r="G152" s="30"/>
      <c r="H152" s="28">
        <f>+IF(ISBLANK(I152),0,VLOOKUP(I152,'8Příloha_2_ceník_pravid_úklid'!$B$9:$C$30,2,0))</f>
        <v>6</v>
      </c>
      <c r="I152" s="143" t="s">
        <v>1</v>
      </c>
      <c r="J152" s="145">
        <v>52.6</v>
      </c>
      <c r="K152" s="275" t="s">
        <v>51</v>
      </c>
      <c r="L152" s="156" t="s">
        <v>22</v>
      </c>
      <c r="M152" s="22" t="s">
        <v>49</v>
      </c>
      <c r="N152" s="24">
        <f>IF((VLOOKUP(I152,'8Příloha_2_ceník_pravid_úklid'!$B$9:$I$30,8,0))=0,VLOOKUP(I152,'8Příloha_2_ceník_pravid_úklid'!$B$9:$K$30,10,0),VLOOKUP(I152,'8Příloha_2_ceník_pravid_úklid'!$B$9:$I$30,8,0))</f>
        <v>0</v>
      </c>
      <c r="O152" s="20">
        <v>2</v>
      </c>
      <c r="P152" s="20">
        <v>1</v>
      </c>
      <c r="Q152" s="20">
        <v>2</v>
      </c>
      <c r="R152" s="20">
        <v>1</v>
      </c>
      <c r="S152" s="21">
        <f>NETWORKDAYS.INTL(DATE(2018,1,1),DATE(2018,12,31),1,{"2018/1/1";"2018/3/30";"2018/4/2";"2018/5/1";"2018/5/8";"2018/7/5";"2018/7/6";"2018/09/28";"2018/11/17";"2018/12/24";"2018/12/25";"2018/12/26"})</f>
        <v>250</v>
      </c>
      <c r="T152" s="21">
        <f t="shared" si="11"/>
        <v>115</v>
      </c>
      <c r="U152" s="21">
        <f t="shared" si="12"/>
        <v>365</v>
      </c>
      <c r="V152" s="311">
        <f t="shared" si="13"/>
        <v>730</v>
      </c>
      <c r="W152" s="140">
        <f t="shared" si="14"/>
        <v>0</v>
      </c>
      <c r="X152" s="141">
        <f t="shared" si="15"/>
        <v>0</v>
      </c>
      <c r="Y152" s="141">
        <v>0</v>
      </c>
    </row>
    <row r="153" spans="1:25" ht="15" x14ac:dyDescent="0.2">
      <c r="A153" s="353" t="s">
        <v>860</v>
      </c>
      <c r="B153" s="23" t="s">
        <v>54</v>
      </c>
      <c r="C153" s="32" t="s">
        <v>193</v>
      </c>
      <c r="D153" s="139" t="str">
        <f>VLOOKUP(C153,'Seznam HS - nemaš'!$A$1:$B$96,2,FALSE)</f>
        <v>432100</v>
      </c>
      <c r="E153" s="22" t="s">
        <v>871</v>
      </c>
      <c r="F153" s="30" t="s">
        <v>567</v>
      </c>
      <c r="G153" s="30" t="s">
        <v>872</v>
      </c>
      <c r="H153" s="28">
        <f>+IF(ISBLANK(I153),0,VLOOKUP(I153,'8Příloha_2_ceník_pravid_úklid'!$B$9:$C$30,2,0))</f>
        <v>1</v>
      </c>
      <c r="I153" s="143" t="s">
        <v>78</v>
      </c>
      <c r="J153" s="145">
        <v>25.89</v>
      </c>
      <c r="K153" s="275" t="s">
        <v>51</v>
      </c>
      <c r="L153" s="156" t="s">
        <v>537</v>
      </c>
      <c r="M153" s="22" t="s">
        <v>49</v>
      </c>
      <c r="N153" s="24">
        <f>IF((VLOOKUP(I153,'8Příloha_2_ceník_pravid_úklid'!$B$9:$I$30,8,0))=0,VLOOKUP(I153,'8Příloha_2_ceník_pravid_úklid'!$B$9:$K$30,10,0),VLOOKUP(I153,'8Příloha_2_ceník_pravid_úklid'!$B$9:$I$30,8,0))</f>
        <v>0</v>
      </c>
      <c r="O153" s="20">
        <v>1</v>
      </c>
      <c r="P153" s="20">
        <v>1</v>
      </c>
      <c r="Q153" s="20">
        <v>1</v>
      </c>
      <c r="R153" s="20">
        <v>1</v>
      </c>
      <c r="S153" s="21">
        <f>NETWORKDAYS.INTL(DATE(2018,1,1),DATE(2018,12,31),1,{"2018/1/1";"2018/3/30";"2018/4/2";"2018/5/1";"2018/5/8";"2018/7/5";"2018/7/6";"2018/09/28";"2018/11/17";"2018/12/24";"2018/12/25";"2018/12/26"})</f>
        <v>250</v>
      </c>
      <c r="T153" s="21">
        <f t="shared" si="11"/>
        <v>115</v>
      </c>
      <c r="U153" s="21">
        <f t="shared" si="12"/>
        <v>365</v>
      </c>
      <c r="V153" s="311">
        <f t="shared" si="13"/>
        <v>365</v>
      </c>
      <c r="W153" s="140">
        <f t="shared" si="14"/>
        <v>0</v>
      </c>
      <c r="X153" s="141">
        <f t="shared" si="15"/>
        <v>0</v>
      </c>
      <c r="Y153" s="141">
        <v>0</v>
      </c>
    </row>
    <row r="154" spans="1:25" ht="15" x14ac:dyDescent="0.2">
      <c r="A154" s="353" t="s">
        <v>860</v>
      </c>
      <c r="B154" s="23" t="s">
        <v>54</v>
      </c>
      <c r="C154" s="32" t="s">
        <v>193</v>
      </c>
      <c r="D154" s="139" t="str">
        <f>VLOOKUP(C154,'Seznam HS - nemaš'!$A$1:$B$96,2,FALSE)</f>
        <v>432100</v>
      </c>
      <c r="E154" s="22" t="s">
        <v>873</v>
      </c>
      <c r="F154" s="30" t="s">
        <v>724</v>
      </c>
      <c r="G154" s="30"/>
      <c r="H154" s="28">
        <f>+IF(ISBLANK(I154),0,VLOOKUP(I154,'8Příloha_2_ceník_pravid_úklid'!$B$9:$C$30,2,0))</f>
        <v>7</v>
      </c>
      <c r="I154" s="143" t="s">
        <v>14</v>
      </c>
      <c r="J154" s="145">
        <v>2.98</v>
      </c>
      <c r="K154" s="275" t="s">
        <v>50</v>
      </c>
      <c r="L154" s="156" t="s">
        <v>537</v>
      </c>
      <c r="M154" s="22" t="s">
        <v>49</v>
      </c>
      <c r="N154" s="24">
        <f>IF((VLOOKUP(I154,'8Příloha_2_ceník_pravid_úklid'!$B$9:$I$30,8,0))=0,VLOOKUP(I154,'8Příloha_2_ceník_pravid_úklid'!$B$9:$K$30,10,0),VLOOKUP(I154,'8Příloha_2_ceník_pravid_úklid'!$B$9:$I$30,8,0))</f>
        <v>0</v>
      </c>
      <c r="O154" s="20">
        <v>1</v>
      </c>
      <c r="P154" s="20">
        <v>1</v>
      </c>
      <c r="Q154" s="20">
        <v>1</v>
      </c>
      <c r="R154" s="20">
        <v>1</v>
      </c>
      <c r="S154" s="21">
        <f>NETWORKDAYS.INTL(DATE(2018,1,1),DATE(2018,12,31),1,{"2018/1/1";"2018/3/30";"2018/4/2";"2018/5/1";"2018/5/8";"2018/7/5";"2018/7/6";"2018/09/28";"2018/11/17";"2018/12/24";"2018/12/25";"2018/12/26"})</f>
        <v>250</v>
      </c>
      <c r="T154" s="21">
        <f t="shared" si="11"/>
        <v>115</v>
      </c>
      <c r="U154" s="21">
        <f t="shared" si="12"/>
        <v>365</v>
      </c>
      <c r="V154" s="311">
        <f t="shared" si="13"/>
        <v>365</v>
      </c>
      <c r="W154" s="140">
        <f t="shared" si="14"/>
        <v>0</v>
      </c>
      <c r="X154" s="141">
        <f t="shared" si="15"/>
        <v>0</v>
      </c>
      <c r="Y154" s="141">
        <v>0</v>
      </c>
    </row>
    <row r="155" spans="1:25" ht="15" x14ac:dyDescent="0.2">
      <c r="A155" s="353" t="s">
        <v>860</v>
      </c>
      <c r="B155" s="23" t="s">
        <v>54</v>
      </c>
      <c r="C155" s="32" t="s">
        <v>193</v>
      </c>
      <c r="D155" s="139" t="str">
        <f>VLOOKUP(C155,'Seznam HS - nemaš'!$A$1:$B$96,2,FALSE)</f>
        <v>432100</v>
      </c>
      <c r="E155" s="22" t="s">
        <v>874</v>
      </c>
      <c r="F155" s="30" t="s">
        <v>567</v>
      </c>
      <c r="G155" s="30" t="s">
        <v>872</v>
      </c>
      <c r="H155" s="28">
        <f>+IF(ISBLANK(I155),0,VLOOKUP(I155,'8Příloha_2_ceník_pravid_úklid'!$B$9:$C$30,2,0))</f>
        <v>1</v>
      </c>
      <c r="I155" s="143" t="s">
        <v>78</v>
      </c>
      <c r="J155" s="145">
        <v>27.21</v>
      </c>
      <c r="K155" s="275" t="s">
        <v>51</v>
      </c>
      <c r="L155" s="156" t="s">
        <v>537</v>
      </c>
      <c r="M155" s="22" t="s">
        <v>49</v>
      </c>
      <c r="N155" s="24">
        <f>IF((VLOOKUP(I155,'8Příloha_2_ceník_pravid_úklid'!$B$9:$I$30,8,0))=0,VLOOKUP(I155,'8Příloha_2_ceník_pravid_úklid'!$B$9:$K$30,10,0),VLOOKUP(I155,'8Příloha_2_ceník_pravid_úklid'!$B$9:$I$30,8,0))</f>
        <v>0</v>
      </c>
      <c r="O155" s="20">
        <v>1</v>
      </c>
      <c r="P155" s="20">
        <v>1</v>
      </c>
      <c r="Q155" s="20">
        <v>1</v>
      </c>
      <c r="R155" s="20">
        <v>1</v>
      </c>
      <c r="S155" s="21">
        <f>NETWORKDAYS.INTL(DATE(2018,1,1),DATE(2018,12,31),1,{"2018/1/1";"2018/3/30";"2018/4/2";"2018/5/1";"2018/5/8";"2018/7/5";"2018/7/6";"2018/09/28";"2018/11/17";"2018/12/24";"2018/12/25";"2018/12/26"})</f>
        <v>250</v>
      </c>
      <c r="T155" s="21">
        <f t="shared" si="11"/>
        <v>115</v>
      </c>
      <c r="U155" s="21">
        <f t="shared" si="12"/>
        <v>365</v>
      </c>
      <c r="V155" s="311">
        <f t="shared" si="13"/>
        <v>365</v>
      </c>
      <c r="W155" s="140">
        <f t="shared" si="14"/>
        <v>0</v>
      </c>
      <c r="X155" s="141">
        <f t="shared" si="15"/>
        <v>0</v>
      </c>
      <c r="Y155" s="141">
        <v>0</v>
      </c>
    </row>
    <row r="156" spans="1:25" ht="15" x14ac:dyDescent="0.2">
      <c r="A156" s="353" t="s">
        <v>860</v>
      </c>
      <c r="B156" s="23" t="s">
        <v>54</v>
      </c>
      <c r="C156" s="32" t="s">
        <v>193</v>
      </c>
      <c r="D156" s="139" t="str">
        <f>VLOOKUP(C156,'Seznam HS - nemaš'!$A$1:$B$96,2,FALSE)</f>
        <v>432100</v>
      </c>
      <c r="E156" s="22" t="s">
        <v>875</v>
      </c>
      <c r="F156" s="30" t="s">
        <v>724</v>
      </c>
      <c r="G156" s="30"/>
      <c r="H156" s="28">
        <f>+IF(ISBLANK(I156),0,VLOOKUP(I156,'8Příloha_2_ceník_pravid_úklid'!$B$9:$C$30,2,0))</f>
        <v>7</v>
      </c>
      <c r="I156" s="143" t="s">
        <v>14</v>
      </c>
      <c r="J156" s="145">
        <v>3.37</v>
      </c>
      <c r="K156" s="275" t="s">
        <v>50</v>
      </c>
      <c r="L156" s="156" t="s">
        <v>537</v>
      </c>
      <c r="M156" s="22" t="s">
        <v>49</v>
      </c>
      <c r="N156" s="24">
        <f>IF((VLOOKUP(I156,'8Příloha_2_ceník_pravid_úklid'!$B$9:$I$30,8,0))=0,VLOOKUP(I156,'8Příloha_2_ceník_pravid_úklid'!$B$9:$K$30,10,0),VLOOKUP(I156,'8Příloha_2_ceník_pravid_úklid'!$B$9:$I$30,8,0))</f>
        <v>0</v>
      </c>
      <c r="O156" s="20">
        <v>1</v>
      </c>
      <c r="P156" s="20">
        <v>1</v>
      </c>
      <c r="Q156" s="20">
        <v>1</v>
      </c>
      <c r="R156" s="20">
        <v>1</v>
      </c>
      <c r="S156" s="21">
        <f>NETWORKDAYS.INTL(DATE(2018,1,1),DATE(2018,12,31),1,{"2018/1/1";"2018/3/30";"2018/4/2";"2018/5/1";"2018/5/8";"2018/7/5";"2018/7/6";"2018/09/28";"2018/11/17";"2018/12/24";"2018/12/25";"2018/12/26"})</f>
        <v>250</v>
      </c>
      <c r="T156" s="21">
        <f t="shared" si="11"/>
        <v>115</v>
      </c>
      <c r="U156" s="21">
        <f t="shared" si="12"/>
        <v>365</v>
      </c>
      <c r="V156" s="311">
        <f t="shared" si="13"/>
        <v>365</v>
      </c>
      <c r="W156" s="140">
        <f t="shared" si="14"/>
        <v>0</v>
      </c>
      <c r="X156" s="141">
        <f t="shared" si="15"/>
        <v>0</v>
      </c>
      <c r="Y156" s="141">
        <v>0</v>
      </c>
    </row>
    <row r="157" spans="1:25" ht="15" x14ac:dyDescent="0.2">
      <c r="A157" s="353" t="s">
        <v>860</v>
      </c>
      <c r="B157" s="23" t="s">
        <v>54</v>
      </c>
      <c r="C157" s="32" t="s">
        <v>193</v>
      </c>
      <c r="D157" s="139" t="str">
        <f>VLOOKUP(C157,'Seznam HS - nemaš'!$A$1:$B$96,2,FALSE)</f>
        <v>432100</v>
      </c>
      <c r="E157" s="22" t="s">
        <v>876</v>
      </c>
      <c r="F157" s="30" t="s">
        <v>567</v>
      </c>
      <c r="G157" s="30" t="s">
        <v>872</v>
      </c>
      <c r="H157" s="28">
        <f>+IF(ISBLANK(I157),0,VLOOKUP(I157,'8Příloha_2_ceník_pravid_úklid'!$B$9:$C$30,2,0))</f>
        <v>1</v>
      </c>
      <c r="I157" s="143" t="s">
        <v>78</v>
      </c>
      <c r="J157" s="145">
        <v>27.73</v>
      </c>
      <c r="K157" s="275" t="s">
        <v>51</v>
      </c>
      <c r="L157" s="156" t="s">
        <v>537</v>
      </c>
      <c r="M157" s="22" t="s">
        <v>49</v>
      </c>
      <c r="N157" s="24">
        <f>IF((VLOOKUP(I157,'8Příloha_2_ceník_pravid_úklid'!$B$9:$I$30,8,0))=0,VLOOKUP(I157,'8Příloha_2_ceník_pravid_úklid'!$B$9:$K$30,10,0),VLOOKUP(I157,'8Příloha_2_ceník_pravid_úklid'!$B$9:$I$30,8,0))</f>
        <v>0</v>
      </c>
      <c r="O157" s="20">
        <v>1</v>
      </c>
      <c r="P157" s="20">
        <v>1</v>
      </c>
      <c r="Q157" s="20">
        <v>1</v>
      </c>
      <c r="R157" s="20">
        <v>1</v>
      </c>
      <c r="S157" s="21">
        <f>NETWORKDAYS.INTL(DATE(2018,1,1),DATE(2018,12,31),1,{"2018/1/1";"2018/3/30";"2018/4/2";"2018/5/1";"2018/5/8";"2018/7/5";"2018/7/6";"2018/09/28";"2018/11/17";"2018/12/24";"2018/12/25";"2018/12/26"})</f>
        <v>250</v>
      </c>
      <c r="T157" s="21">
        <f t="shared" si="11"/>
        <v>115</v>
      </c>
      <c r="U157" s="21">
        <f t="shared" si="12"/>
        <v>365</v>
      </c>
      <c r="V157" s="311">
        <f t="shared" si="13"/>
        <v>365</v>
      </c>
      <c r="W157" s="140">
        <f t="shared" si="14"/>
        <v>0</v>
      </c>
      <c r="X157" s="141">
        <f t="shared" si="15"/>
        <v>0</v>
      </c>
      <c r="Y157" s="141">
        <v>0</v>
      </c>
    </row>
    <row r="158" spans="1:25" ht="15" x14ac:dyDescent="0.2">
      <c r="A158" s="353" t="s">
        <v>860</v>
      </c>
      <c r="B158" s="23" t="s">
        <v>54</v>
      </c>
      <c r="C158" s="32" t="s">
        <v>193</v>
      </c>
      <c r="D158" s="139" t="str">
        <f>VLOOKUP(C158,'Seznam HS - nemaš'!$A$1:$B$96,2,FALSE)</f>
        <v>432100</v>
      </c>
      <c r="E158" s="22" t="s">
        <v>877</v>
      </c>
      <c r="F158" s="30" t="s">
        <v>724</v>
      </c>
      <c r="G158" s="30"/>
      <c r="H158" s="28">
        <f>+IF(ISBLANK(I158),0,VLOOKUP(I158,'8Příloha_2_ceník_pravid_úklid'!$B$9:$C$30,2,0))</f>
        <v>7</v>
      </c>
      <c r="I158" s="143" t="s">
        <v>14</v>
      </c>
      <c r="J158" s="145">
        <v>3.4</v>
      </c>
      <c r="K158" s="275" t="s">
        <v>50</v>
      </c>
      <c r="L158" s="156" t="s">
        <v>537</v>
      </c>
      <c r="M158" s="22" t="s">
        <v>49</v>
      </c>
      <c r="N158" s="24">
        <f>IF((VLOOKUP(I158,'8Příloha_2_ceník_pravid_úklid'!$B$9:$I$30,8,0))=0,VLOOKUP(I158,'8Příloha_2_ceník_pravid_úklid'!$B$9:$K$30,10,0),VLOOKUP(I158,'8Příloha_2_ceník_pravid_úklid'!$B$9:$I$30,8,0))</f>
        <v>0</v>
      </c>
      <c r="O158" s="20">
        <v>1</v>
      </c>
      <c r="P158" s="20">
        <v>1</v>
      </c>
      <c r="Q158" s="20">
        <v>1</v>
      </c>
      <c r="R158" s="20">
        <v>1</v>
      </c>
      <c r="S158" s="21">
        <f>NETWORKDAYS.INTL(DATE(2018,1,1),DATE(2018,12,31),1,{"2018/1/1";"2018/3/30";"2018/4/2";"2018/5/1";"2018/5/8";"2018/7/5";"2018/7/6";"2018/09/28";"2018/11/17";"2018/12/24";"2018/12/25";"2018/12/26"})</f>
        <v>250</v>
      </c>
      <c r="T158" s="21">
        <f t="shared" si="11"/>
        <v>115</v>
      </c>
      <c r="U158" s="21">
        <f t="shared" si="12"/>
        <v>365</v>
      </c>
      <c r="V158" s="311">
        <f t="shared" si="13"/>
        <v>365</v>
      </c>
      <c r="W158" s="140">
        <f t="shared" si="14"/>
        <v>0</v>
      </c>
      <c r="X158" s="141">
        <f t="shared" si="15"/>
        <v>0</v>
      </c>
      <c r="Y158" s="141">
        <v>0</v>
      </c>
    </row>
    <row r="159" spans="1:25" ht="15" x14ac:dyDescent="0.2">
      <c r="A159" s="353" t="s">
        <v>860</v>
      </c>
      <c r="B159" s="23" t="s">
        <v>54</v>
      </c>
      <c r="C159" s="32" t="s">
        <v>193</v>
      </c>
      <c r="D159" s="139" t="str">
        <f>VLOOKUP(C159,'Seznam HS - nemaš'!$A$1:$B$96,2,FALSE)</f>
        <v>432100</v>
      </c>
      <c r="E159" s="22" t="s">
        <v>878</v>
      </c>
      <c r="F159" s="30" t="s">
        <v>53</v>
      </c>
      <c r="G159" s="30"/>
      <c r="H159" s="28">
        <f>+IF(ISBLANK(I159),0,VLOOKUP(I159,'8Příloha_2_ceník_pravid_úklid'!$B$9:$C$30,2,0))</f>
        <v>6</v>
      </c>
      <c r="I159" s="143" t="s">
        <v>1</v>
      </c>
      <c r="J159" s="145">
        <v>18.11</v>
      </c>
      <c r="K159" s="275" t="s">
        <v>51</v>
      </c>
      <c r="L159" s="156" t="s">
        <v>22</v>
      </c>
      <c r="M159" s="22" t="s">
        <v>49</v>
      </c>
      <c r="N159" s="24">
        <f>IF((VLOOKUP(I159,'8Příloha_2_ceník_pravid_úklid'!$B$9:$I$30,8,0))=0,VLOOKUP(I159,'8Příloha_2_ceník_pravid_úklid'!$B$9:$K$30,10,0),VLOOKUP(I159,'8Příloha_2_ceník_pravid_úklid'!$B$9:$I$30,8,0))</f>
        <v>0</v>
      </c>
      <c r="O159" s="20">
        <v>2</v>
      </c>
      <c r="P159" s="20">
        <v>1</v>
      </c>
      <c r="Q159" s="20">
        <v>2</v>
      </c>
      <c r="R159" s="20">
        <v>1</v>
      </c>
      <c r="S159" s="21">
        <f>NETWORKDAYS.INTL(DATE(2018,1,1),DATE(2018,12,31),1,{"2018/1/1";"2018/3/30";"2018/4/2";"2018/5/1";"2018/5/8";"2018/7/5";"2018/7/6";"2018/09/28";"2018/11/17";"2018/12/24";"2018/12/25";"2018/12/26"})</f>
        <v>250</v>
      </c>
      <c r="T159" s="21">
        <f t="shared" si="11"/>
        <v>115</v>
      </c>
      <c r="U159" s="21">
        <f t="shared" si="12"/>
        <v>365</v>
      </c>
      <c r="V159" s="311">
        <f t="shared" si="13"/>
        <v>730</v>
      </c>
      <c r="W159" s="140">
        <f t="shared" si="14"/>
        <v>0</v>
      </c>
      <c r="X159" s="141">
        <f t="shared" si="15"/>
        <v>0</v>
      </c>
      <c r="Y159" s="141">
        <v>0</v>
      </c>
    </row>
    <row r="160" spans="1:25" ht="15" x14ac:dyDescent="0.2">
      <c r="A160" s="353" t="s">
        <v>860</v>
      </c>
      <c r="B160" s="23" t="s">
        <v>54</v>
      </c>
      <c r="C160" s="32" t="s">
        <v>193</v>
      </c>
      <c r="D160" s="139" t="str">
        <f>VLOOKUP(C160,'Seznam HS - nemaš'!$A$1:$B$96,2,FALSE)</f>
        <v>432100</v>
      </c>
      <c r="E160" s="22" t="s">
        <v>879</v>
      </c>
      <c r="F160" s="30" t="s">
        <v>428</v>
      </c>
      <c r="G160" s="30" t="s">
        <v>880</v>
      </c>
      <c r="H160" s="28">
        <f>+IF(ISBLANK(I160),0,VLOOKUP(I160,'8Příloha_2_ceník_pravid_úklid'!$B$9:$C$30,2,0))</f>
        <v>2</v>
      </c>
      <c r="I160" s="143" t="s">
        <v>2</v>
      </c>
      <c r="J160" s="145">
        <v>15.09</v>
      </c>
      <c r="K160" s="275" t="s">
        <v>51</v>
      </c>
      <c r="L160" s="156" t="s">
        <v>537</v>
      </c>
      <c r="M160" s="22" t="s">
        <v>49</v>
      </c>
      <c r="N160" s="24">
        <f>IF((VLOOKUP(I160,'8Příloha_2_ceník_pravid_úklid'!$B$9:$I$30,8,0))=0,VLOOKUP(I160,'8Příloha_2_ceník_pravid_úklid'!$B$9:$K$30,10,0),VLOOKUP(I160,'8Příloha_2_ceník_pravid_úklid'!$B$9:$I$30,8,0))</f>
        <v>0</v>
      </c>
      <c r="O160" s="20">
        <v>1</v>
      </c>
      <c r="P160" s="20">
        <v>1</v>
      </c>
      <c r="Q160" s="20">
        <v>1</v>
      </c>
      <c r="R160" s="20">
        <v>1</v>
      </c>
      <c r="S160" s="21">
        <f>NETWORKDAYS.INTL(DATE(2018,1,1),DATE(2018,12,31),1,{"2018/1/1";"2018/3/30";"2018/4/2";"2018/5/1";"2018/5/8";"2018/7/5";"2018/7/6";"2018/09/28";"2018/11/17";"2018/12/24";"2018/12/25";"2018/12/26"})</f>
        <v>250</v>
      </c>
      <c r="T160" s="21">
        <f t="shared" si="11"/>
        <v>115</v>
      </c>
      <c r="U160" s="21">
        <f t="shared" si="12"/>
        <v>365</v>
      </c>
      <c r="V160" s="311">
        <f t="shared" si="13"/>
        <v>365</v>
      </c>
      <c r="W160" s="140">
        <f t="shared" si="14"/>
        <v>0</v>
      </c>
      <c r="X160" s="141">
        <f t="shared" si="15"/>
        <v>0</v>
      </c>
      <c r="Y160" s="141">
        <v>0</v>
      </c>
    </row>
    <row r="161" spans="1:25" ht="15" x14ac:dyDescent="0.2">
      <c r="A161" s="353" t="s">
        <v>860</v>
      </c>
      <c r="B161" s="23" t="s">
        <v>54</v>
      </c>
      <c r="C161" s="32" t="s">
        <v>193</v>
      </c>
      <c r="D161" s="139" t="str">
        <f>VLOOKUP(C161,'Seznam HS - nemaš'!$A$1:$B$96,2,FALSE)</f>
        <v>432100</v>
      </c>
      <c r="E161" s="22" t="s">
        <v>881</v>
      </c>
      <c r="F161" s="30" t="s">
        <v>565</v>
      </c>
      <c r="G161" s="30"/>
      <c r="H161" s="28">
        <f>+IF(ISBLANK(I161),0,VLOOKUP(I161,'8Příloha_2_ceník_pravid_úklid'!$B$9:$C$30,2,0))</f>
        <v>2</v>
      </c>
      <c r="I161" s="143" t="s">
        <v>2</v>
      </c>
      <c r="J161" s="145">
        <v>17.68</v>
      </c>
      <c r="K161" s="275" t="s">
        <v>51</v>
      </c>
      <c r="L161" s="156" t="s">
        <v>537</v>
      </c>
      <c r="M161" s="22" t="s">
        <v>49</v>
      </c>
      <c r="N161" s="24">
        <f>IF((VLOOKUP(I161,'8Příloha_2_ceník_pravid_úklid'!$B$9:$I$30,8,0))=0,VLOOKUP(I161,'8Příloha_2_ceník_pravid_úklid'!$B$9:$K$30,10,0),VLOOKUP(I161,'8Příloha_2_ceník_pravid_úklid'!$B$9:$I$30,8,0))</f>
        <v>0</v>
      </c>
      <c r="O161" s="20">
        <v>1</v>
      </c>
      <c r="P161" s="20">
        <v>1</v>
      </c>
      <c r="Q161" s="20">
        <v>1</v>
      </c>
      <c r="R161" s="20">
        <v>1</v>
      </c>
      <c r="S161" s="21">
        <f>NETWORKDAYS.INTL(DATE(2018,1,1),DATE(2018,12,31),1,{"2018/1/1";"2018/3/30";"2018/4/2";"2018/5/1";"2018/5/8";"2018/7/5";"2018/7/6";"2018/09/28";"2018/11/17";"2018/12/24";"2018/12/25";"2018/12/26"})</f>
        <v>250</v>
      </c>
      <c r="T161" s="21">
        <f t="shared" si="11"/>
        <v>115</v>
      </c>
      <c r="U161" s="21">
        <f t="shared" si="12"/>
        <v>365</v>
      </c>
      <c r="V161" s="311">
        <f t="shared" si="13"/>
        <v>365</v>
      </c>
      <c r="W161" s="140">
        <f t="shared" si="14"/>
        <v>0</v>
      </c>
      <c r="X161" s="141">
        <f t="shared" si="15"/>
        <v>0</v>
      </c>
      <c r="Y161" s="141">
        <v>0</v>
      </c>
    </row>
    <row r="162" spans="1:25" ht="15" x14ac:dyDescent="0.2">
      <c r="A162" s="353" t="s">
        <v>860</v>
      </c>
      <c r="B162" s="23" t="s">
        <v>54</v>
      </c>
      <c r="C162" s="32" t="s">
        <v>193</v>
      </c>
      <c r="D162" s="139" t="str">
        <f>VLOOKUP(C162,'Seznam HS - nemaš'!$A$1:$B$96,2,FALSE)</f>
        <v>432100</v>
      </c>
      <c r="E162" s="22" t="s">
        <v>882</v>
      </c>
      <c r="F162" s="30" t="s">
        <v>612</v>
      </c>
      <c r="G162" s="30"/>
      <c r="H162" s="28">
        <f>+IF(ISBLANK(I162),0,VLOOKUP(I162,'8Příloha_2_ceník_pravid_úklid'!$B$9:$C$30,2,0))</f>
        <v>2</v>
      </c>
      <c r="I162" s="143" t="s">
        <v>2</v>
      </c>
      <c r="J162" s="145">
        <v>15.31</v>
      </c>
      <c r="K162" s="275" t="s">
        <v>51</v>
      </c>
      <c r="L162" s="156" t="s">
        <v>537</v>
      </c>
      <c r="M162" s="22" t="s">
        <v>49</v>
      </c>
      <c r="N162" s="24">
        <f>IF((VLOOKUP(I162,'8Příloha_2_ceník_pravid_úklid'!$B$9:$I$30,8,0))=0,VLOOKUP(I162,'8Příloha_2_ceník_pravid_úklid'!$B$9:$K$30,10,0),VLOOKUP(I162,'8Příloha_2_ceník_pravid_úklid'!$B$9:$I$30,8,0))</f>
        <v>0</v>
      </c>
      <c r="O162" s="20">
        <v>1</v>
      </c>
      <c r="P162" s="20">
        <v>1</v>
      </c>
      <c r="Q162" s="20">
        <v>1</v>
      </c>
      <c r="R162" s="20">
        <v>1</v>
      </c>
      <c r="S162" s="21">
        <f>NETWORKDAYS.INTL(DATE(2018,1,1),DATE(2018,12,31),1,{"2018/1/1";"2018/3/30";"2018/4/2";"2018/5/1";"2018/5/8";"2018/7/5";"2018/7/6";"2018/09/28";"2018/11/17";"2018/12/24";"2018/12/25";"2018/12/26"})</f>
        <v>250</v>
      </c>
      <c r="T162" s="21">
        <f t="shared" si="11"/>
        <v>115</v>
      </c>
      <c r="U162" s="21">
        <f t="shared" si="12"/>
        <v>365</v>
      </c>
      <c r="V162" s="311">
        <f t="shared" si="13"/>
        <v>365</v>
      </c>
      <c r="W162" s="140">
        <f t="shared" si="14"/>
        <v>0</v>
      </c>
      <c r="X162" s="141">
        <f t="shared" si="15"/>
        <v>0</v>
      </c>
      <c r="Y162" s="141">
        <v>0</v>
      </c>
    </row>
    <row r="163" spans="1:25" ht="15" x14ac:dyDescent="0.2">
      <c r="A163" s="353" t="s">
        <v>860</v>
      </c>
      <c r="B163" s="23" t="s">
        <v>54</v>
      </c>
      <c r="C163" s="32" t="s">
        <v>193</v>
      </c>
      <c r="D163" s="139" t="str">
        <f>VLOOKUP(C163,'Seznam HS - nemaš'!$A$1:$B$96,2,FALSE)</f>
        <v>432100</v>
      </c>
      <c r="E163" s="22" t="s">
        <v>883</v>
      </c>
      <c r="F163" s="30" t="s">
        <v>567</v>
      </c>
      <c r="G163" s="30" t="s">
        <v>872</v>
      </c>
      <c r="H163" s="28">
        <f>+IF(ISBLANK(I163),0,VLOOKUP(I163,'8Příloha_2_ceník_pravid_úklid'!$B$9:$C$30,2,0))</f>
        <v>1</v>
      </c>
      <c r="I163" s="143" t="s">
        <v>78</v>
      </c>
      <c r="J163" s="145">
        <v>27.2</v>
      </c>
      <c r="K163" s="275" t="s">
        <v>51</v>
      </c>
      <c r="L163" s="156" t="s">
        <v>537</v>
      </c>
      <c r="M163" s="22" t="s">
        <v>49</v>
      </c>
      <c r="N163" s="24">
        <f>IF((VLOOKUP(I163,'8Příloha_2_ceník_pravid_úklid'!$B$9:$I$30,8,0))=0,VLOOKUP(I163,'8Příloha_2_ceník_pravid_úklid'!$B$9:$K$30,10,0),VLOOKUP(I163,'8Příloha_2_ceník_pravid_úklid'!$B$9:$I$30,8,0))</f>
        <v>0</v>
      </c>
      <c r="O163" s="20">
        <v>1</v>
      </c>
      <c r="P163" s="20">
        <v>1</v>
      </c>
      <c r="Q163" s="20">
        <v>1</v>
      </c>
      <c r="R163" s="20">
        <v>1</v>
      </c>
      <c r="S163" s="21">
        <f>NETWORKDAYS.INTL(DATE(2018,1,1),DATE(2018,12,31),1,{"2018/1/1";"2018/3/30";"2018/4/2";"2018/5/1";"2018/5/8";"2018/7/5";"2018/7/6";"2018/09/28";"2018/11/17";"2018/12/24";"2018/12/25";"2018/12/26"})</f>
        <v>250</v>
      </c>
      <c r="T163" s="21">
        <f t="shared" si="11"/>
        <v>115</v>
      </c>
      <c r="U163" s="21">
        <f t="shared" si="12"/>
        <v>365</v>
      </c>
      <c r="V163" s="311">
        <f t="shared" si="13"/>
        <v>365</v>
      </c>
      <c r="W163" s="140">
        <f t="shared" si="14"/>
        <v>0</v>
      </c>
      <c r="X163" s="141">
        <f t="shared" si="15"/>
        <v>0</v>
      </c>
      <c r="Y163" s="141">
        <v>0</v>
      </c>
    </row>
    <row r="164" spans="1:25" ht="15" x14ac:dyDescent="0.2">
      <c r="A164" s="353" t="s">
        <v>860</v>
      </c>
      <c r="B164" s="23" t="s">
        <v>54</v>
      </c>
      <c r="C164" s="32" t="s">
        <v>193</v>
      </c>
      <c r="D164" s="139" t="str">
        <f>VLOOKUP(C164,'Seznam HS - nemaš'!$A$1:$B$96,2,FALSE)</f>
        <v>432100</v>
      </c>
      <c r="E164" s="22" t="s">
        <v>884</v>
      </c>
      <c r="F164" s="30" t="s">
        <v>724</v>
      </c>
      <c r="G164" s="30"/>
      <c r="H164" s="28">
        <f>+IF(ISBLANK(I164),0,VLOOKUP(I164,'8Příloha_2_ceník_pravid_úklid'!$B$9:$C$30,2,0))</f>
        <v>7</v>
      </c>
      <c r="I164" s="143" t="s">
        <v>14</v>
      </c>
      <c r="J164" s="145">
        <v>3.43</v>
      </c>
      <c r="K164" s="275" t="s">
        <v>51</v>
      </c>
      <c r="L164" s="156" t="s">
        <v>537</v>
      </c>
      <c r="M164" s="22" t="s">
        <v>49</v>
      </c>
      <c r="N164" s="24">
        <f>IF((VLOOKUP(I164,'8Příloha_2_ceník_pravid_úklid'!$B$9:$I$30,8,0))=0,VLOOKUP(I164,'8Příloha_2_ceník_pravid_úklid'!$B$9:$K$30,10,0),VLOOKUP(I164,'8Příloha_2_ceník_pravid_úklid'!$B$9:$I$30,8,0))</f>
        <v>0</v>
      </c>
      <c r="O164" s="20">
        <v>1</v>
      </c>
      <c r="P164" s="20">
        <v>1</v>
      </c>
      <c r="Q164" s="20">
        <v>1</v>
      </c>
      <c r="R164" s="20">
        <v>1</v>
      </c>
      <c r="S164" s="21">
        <f>NETWORKDAYS.INTL(DATE(2018,1,1),DATE(2018,12,31),1,{"2018/1/1";"2018/3/30";"2018/4/2";"2018/5/1";"2018/5/8";"2018/7/5";"2018/7/6";"2018/09/28";"2018/11/17";"2018/12/24";"2018/12/25";"2018/12/26"})</f>
        <v>250</v>
      </c>
      <c r="T164" s="21">
        <f t="shared" si="11"/>
        <v>115</v>
      </c>
      <c r="U164" s="21">
        <f t="shared" si="12"/>
        <v>365</v>
      </c>
      <c r="V164" s="311">
        <f t="shared" si="13"/>
        <v>365</v>
      </c>
      <c r="W164" s="140">
        <f t="shared" si="14"/>
        <v>0</v>
      </c>
      <c r="X164" s="141">
        <f t="shared" si="15"/>
        <v>0</v>
      </c>
      <c r="Y164" s="141">
        <v>0</v>
      </c>
    </row>
    <row r="165" spans="1:25" ht="15" x14ac:dyDescent="0.2">
      <c r="A165" s="353" t="s">
        <v>860</v>
      </c>
      <c r="B165" s="23" t="s">
        <v>54</v>
      </c>
      <c r="C165" s="32" t="s">
        <v>193</v>
      </c>
      <c r="D165" s="139" t="str">
        <f>VLOOKUP(C165,'Seznam HS - nemaš'!$A$1:$B$96,2,FALSE)</f>
        <v>432100</v>
      </c>
      <c r="E165" s="22" t="s">
        <v>885</v>
      </c>
      <c r="F165" s="30" t="s">
        <v>567</v>
      </c>
      <c r="G165" s="30" t="s">
        <v>872</v>
      </c>
      <c r="H165" s="28">
        <f>+IF(ISBLANK(I165),0,VLOOKUP(I165,'8Příloha_2_ceník_pravid_úklid'!$B$9:$C$30,2,0))</f>
        <v>1</v>
      </c>
      <c r="I165" s="143" t="s">
        <v>78</v>
      </c>
      <c r="J165" s="145">
        <v>28.14</v>
      </c>
      <c r="K165" s="275" t="s">
        <v>51</v>
      </c>
      <c r="L165" s="156" t="s">
        <v>537</v>
      </c>
      <c r="M165" s="22" t="s">
        <v>49</v>
      </c>
      <c r="N165" s="24">
        <f>IF((VLOOKUP(I165,'8Příloha_2_ceník_pravid_úklid'!$B$9:$I$30,8,0))=0,VLOOKUP(I165,'8Příloha_2_ceník_pravid_úklid'!$B$9:$K$30,10,0),VLOOKUP(I165,'8Příloha_2_ceník_pravid_úklid'!$B$9:$I$30,8,0))</f>
        <v>0</v>
      </c>
      <c r="O165" s="20">
        <v>1</v>
      </c>
      <c r="P165" s="20">
        <v>1</v>
      </c>
      <c r="Q165" s="20">
        <v>1</v>
      </c>
      <c r="R165" s="20">
        <v>1</v>
      </c>
      <c r="S165" s="21">
        <f>NETWORKDAYS.INTL(DATE(2018,1,1),DATE(2018,12,31),1,{"2018/1/1";"2018/3/30";"2018/4/2";"2018/5/1";"2018/5/8";"2018/7/5";"2018/7/6";"2018/09/28";"2018/11/17";"2018/12/24";"2018/12/25";"2018/12/26"})</f>
        <v>250</v>
      </c>
      <c r="T165" s="21">
        <f t="shared" si="11"/>
        <v>115</v>
      </c>
      <c r="U165" s="21">
        <f t="shared" si="12"/>
        <v>365</v>
      </c>
      <c r="V165" s="311">
        <f t="shared" si="13"/>
        <v>365</v>
      </c>
      <c r="W165" s="140">
        <f t="shared" si="14"/>
        <v>0</v>
      </c>
      <c r="X165" s="141">
        <f t="shared" si="15"/>
        <v>0</v>
      </c>
      <c r="Y165" s="141">
        <v>0</v>
      </c>
    </row>
    <row r="166" spans="1:25" ht="15" x14ac:dyDescent="0.2">
      <c r="A166" s="353" t="s">
        <v>860</v>
      </c>
      <c r="B166" s="23" t="s">
        <v>54</v>
      </c>
      <c r="C166" s="32" t="s">
        <v>193</v>
      </c>
      <c r="D166" s="139" t="str">
        <f>VLOOKUP(C166,'Seznam HS - nemaš'!$A$1:$B$96,2,FALSE)</f>
        <v>432100</v>
      </c>
      <c r="E166" s="22" t="s">
        <v>886</v>
      </c>
      <c r="F166" s="30" t="s">
        <v>724</v>
      </c>
      <c r="G166" s="30"/>
      <c r="H166" s="28">
        <f>+IF(ISBLANK(I166),0,VLOOKUP(I166,'8Příloha_2_ceník_pravid_úklid'!$B$9:$C$30,2,0))</f>
        <v>7</v>
      </c>
      <c r="I166" s="143" t="s">
        <v>14</v>
      </c>
      <c r="J166" s="145">
        <v>3.4</v>
      </c>
      <c r="K166" s="275" t="s">
        <v>50</v>
      </c>
      <c r="L166" s="156" t="s">
        <v>537</v>
      </c>
      <c r="M166" s="22" t="s">
        <v>49</v>
      </c>
      <c r="N166" s="24">
        <f>IF((VLOOKUP(I166,'8Příloha_2_ceník_pravid_úklid'!$B$9:$I$30,8,0))=0,VLOOKUP(I166,'8Příloha_2_ceník_pravid_úklid'!$B$9:$K$30,10,0),VLOOKUP(I166,'8Příloha_2_ceník_pravid_úklid'!$B$9:$I$30,8,0))</f>
        <v>0</v>
      </c>
      <c r="O166" s="20">
        <v>1</v>
      </c>
      <c r="P166" s="20">
        <v>1</v>
      </c>
      <c r="Q166" s="20">
        <v>1</v>
      </c>
      <c r="R166" s="20">
        <v>1</v>
      </c>
      <c r="S166" s="21">
        <f>NETWORKDAYS.INTL(DATE(2018,1,1),DATE(2018,12,31),1,{"2018/1/1";"2018/3/30";"2018/4/2";"2018/5/1";"2018/5/8";"2018/7/5";"2018/7/6";"2018/09/28";"2018/11/17";"2018/12/24";"2018/12/25";"2018/12/26"})</f>
        <v>250</v>
      </c>
      <c r="T166" s="21">
        <f t="shared" si="11"/>
        <v>115</v>
      </c>
      <c r="U166" s="21">
        <f t="shared" si="12"/>
        <v>365</v>
      </c>
      <c r="V166" s="311">
        <f t="shared" si="13"/>
        <v>365</v>
      </c>
      <c r="W166" s="140">
        <f t="shared" si="14"/>
        <v>0</v>
      </c>
      <c r="X166" s="141">
        <f t="shared" si="15"/>
        <v>0</v>
      </c>
      <c r="Y166" s="141">
        <v>0</v>
      </c>
    </row>
    <row r="167" spans="1:25" ht="15" x14ac:dyDescent="0.2">
      <c r="A167" s="353" t="s">
        <v>860</v>
      </c>
      <c r="B167" s="23" t="s">
        <v>54</v>
      </c>
      <c r="C167" s="32" t="s">
        <v>193</v>
      </c>
      <c r="D167" s="139" t="str">
        <f>VLOOKUP(C167,'Seznam HS - nemaš'!$A$1:$B$96,2,FALSE)</f>
        <v>432100</v>
      </c>
      <c r="E167" s="22" t="s">
        <v>887</v>
      </c>
      <c r="F167" s="30" t="s">
        <v>567</v>
      </c>
      <c r="G167" s="30" t="s">
        <v>872</v>
      </c>
      <c r="H167" s="28">
        <f>+IF(ISBLANK(I167),0,VLOOKUP(I167,'8Příloha_2_ceník_pravid_úklid'!$B$9:$C$30,2,0))</f>
        <v>1</v>
      </c>
      <c r="I167" s="143" t="s">
        <v>78</v>
      </c>
      <c r="J167" s="145">
        <v>27.67</v>
      </c>
      <c r="K167" s="275" t="s">
        <v>51</v>
      </c>
      <c r="L167" s="156" t="s">
        <v>537</v>
      </c>
      <c r="M167" s="22" t="s">
        <v>49</v>
      </c>
      <c r="N167" s="24">
        <f>IF((VLOOKUP(I167,'8Příloha_2_ceník_pravid_úklid'!$B$9:$I$30,8,0))=0,VLOOKUP(I167,'8Příloha_2_ceník_pravid_úklid'!$B$9:$K$30,10,0),VLOOKUP(I167,'8Příloha_2_ceník_pravid_úklid'!$B$9:$I$30,8,0))</f>
        <v>0</v>
      </c>
      <c r="O167" s="20">
        <v>1</v>
      </c>
      <c r="P167" s="20">
        <v>1</v>
      </c>
      <c r="Q167" s="20">
        <v>1</v>
      </c>
      <c r="R167" s="20">
        <v>1</v>
      </c>
      <c r="S167" s="21">
        <f>NETWORKDAYS.INTL(DATE(2018,1,1),DATE(2018,12,31),1,{"2018/1/1";"2018/3/30";"2018/4/2";"2018/5/1";"2018/5/8";"2018/7/5";"2018/7/6";"2018/09/28";"2018/11/17";"2018/12/24";"2018/12/25";"2018/12/26"})</f>
        <v>250</v>
      </c>
      <c r="T167" s="21">
        <f t="shared" si="11"/>
        <v>115</v>
      </c>
      <c r="U167" s="21">
        <f t="shared" si="12"/>
        <v>365</v>
      </c>
      <c r="V167" s="311">
        <f t="shared" si="13"/>
        <v>365</v>
      </c>
      <c r="W167" s="140">
        <f t="shared" si="14"/>
        <v>0</v>
      </c>
      <c r="X167" s="141">
        <f t="shared" si="15"/>
        <v>0</v>
      </c>
      <c r="Y167" s="141">
        <v>0</v>
      </c>
    </row>
    <row r="168" spans="1:25" ht="15" x14ac:dyDescent="0.2">
      <c r="A168" s="353" t="s">
        <v>860</v>
      </c>
      <c r="B168" s="23" t="s">
        <v>54</v>
      </c>
      <c r="C168" s="32" t="s">
        <v>193</v>
      </c>
      <c r="D168" s="139" t="str">
        <f>VLOOKUP(C168,'Seznam HS - nemaš'!$A$1:$B$96,2,FALSE)</f>
        <v>432100</v>
      </c>
      <c r="E168" s="22" t="s">
        <v>888</v>
      </c>
      <c r="F168" s="30" t="s">
        <v>724</v>
      </c>
      <c r="G168" s="30"/>
      <c r="H168" s="28">
        <f>+IF(ISBLANK(I168),0,VLOOKUP(I168,'8Příloha_2_ceník_pravid_úklid'!$B$9:$C$30,2,0))</f>
        <v>7</v>
      </c>
      <c r="I168" s="143" t="s">
        <v>14</v>
      </c>
      <c r="J168" s="145">
        <v>3.4</v>
      </c>
      <c r="K168" s="275" t="s">
        <v>50</v>
      </c>
      <c r="L168" s="156" t="s">
        <v>537</v>
      </c>
      <c r="M168" s="22" t="s">
        <v>49</v>
      </c>
      <c r="N168" s="24">
        <f>IF((VLOOKUP(I168,'8Příloha_2_ceník_pravid_úklid'!$B$9:$I$30,8,0))=0,VLOOKUP(I168,'8Příloha_2_ceník_pravid_úklid'!$B$9:$K$30,10,0),VLOOKUP(I168,'8Příloha_2_ceník_pravid_úklid'!$B$9:$I$30,8,0))</f>
        <v>0</v>
      </c>
      <c r="O168" s="20">
        <v>1</v>
      </c>
      <c r="P168" s="20">
        <v>1</v>
      </c>
      <c r="Q168" s="20">
        <v>1</v>
      </c>
      <c r="R168" s="20">
        <v>1</v>
      </c>
      <c r="S168" s="21">
        <f>NETWORKDAYS.INTL(DATE(2018,1,1),DATE(2018,12,31),1,{"2018/1/1";"2018/3/30";"2018/4/2";"2018/5/1";"2018/5/8";"2018/7/5";"2018/7/6";"2018/09/28";"2018/11/17";"2018/12/24";"2018/12/25";"2018/12/26"})</f>
        <v>250</v>
      </c>
      <c r="T168" s="21">
        <f t="shared" si="11"/>
        <v>115</v>
      </c>
      <c r="U168" s="21">
        <f t="shared" si="12"/>
        <v>365</v>
      </c>
      <c r="V168" s="311">
        <f t="shared" si="13"/>
        <v>365</v>
      </c>
      <c r="W168" s="140">
        <f t="shared" si="14"/>
        <v>0</v>
      </c>
      <c r="X168" s="141">
        <f t="shared" si="15"/>
        <v>0</v>
      </c>
      <c r="Y168" s="141">
        <v>0</v>
      </c>
    </row>
    <row r="169" spans="1:25" ht="15" x14ac:dyDescent="0.2">
      <c r="A169" s="353" t="s">
        <v>860</v>
      </c>
      <c r="B169" s="23" t="s">
        <v>54</v>
      </c>
      <c r="C169" s="32" t="s">
        <v>193</v>
      </c>
      <c r="D169" s="139" t="str">
        <f>VLOOKUP(C169,'Seznam HS - nemaš'!$A$1:$B$96,2,FALSE)</f>
        <v>432100</v>
      </c>
      <c r="E169" s="22" t="s">
        <v>889</v>
      </c>
      <c r="F169" s="30" t="s">
        <v>567</v>
      </c>
      <c r="G169" s="30" t="s">
        <v>872</v>
      </c>
      <c r="H169" s="28">
        <f>+IF(ISBLANK(I169),0,VLOOKUP(I169,'8Příloha_2_ceník_pravid_úklid'!$B$9:$C$30,2,0))</f>
        <v>1</v>
      </c>
      <c r="I169" s="143" t="s">
        <v>78</v>
      </c>
      <c r="J169" s="145">
        <v>25.54</v>
      </c>
      <c r="K169" s="275" t="s">
        <v>51</v>
      </c>
      <c r="L169" s="156" t="s">
        <v>537</v>
      </c>
      <c r="M169" s="22" t="s">
        <v>49</v>
      </c>
      <c r="N169" s="24">
        <f>IF((VLOOKUP(I169,'8Příloha_2_ceník_pravid_úklid'!$B$9:$I$30,8,0))=0,VLOOKUP(I169,'8Příloha_2_ceník_pravid_úklid'!$B$9:$K$30,10,0),VLOOKUP(I169,'8Příloha_2_ceník_pravid_úklid'!$B$9:$I$30,8,0))</f>
        <v>0</v>
      </c>
      <c r="O169" s="20">
        <v>1</v>
      </c>
      <c r="P169" s="20">
        <v>1</v>
      </c>
      <c r="Q169" s="20">
        <v>1</v>
      </c>
      <c r="R169" s="20">
        <v>1</v>
      </c>
      <c r="S169" s="21">
        <f>NETWORKDAYS.INTL(DATE(2018,1,1),DATE(2018,12,31),1,{"2018/1/1";"2018/3/30";"2018/4/2";"2018/5/1";"2018/5/8";"2018/7/5";"2018/7/6";"2018/09/28";"2018/11/17";"2018/12/24";"2018/12/25";"2018/12/26"})</f>
        <v>250</v>
      </c>
      <c r="T169" s="21">
        <f t="shared" si="11"/>
        <v>115</v>
      </c>
      <c r="U169" s="21">
        <f t="shared" si="12"/>
        <v>365</v>
      </c>
      <c r="V169" s="311">
        <f t="shared" si="13"/>
        <v>365</v>
      </c>
      <c r="W169" s="140">
        <f t="shared" si="14"/>
        <v>0</v>
      </c>
      <c r="X169" s="141">
        <f t="shared" si="15"/>
        <v>0</v>
      </c>
      <c r="Y169" s="141">
        <v>0</v>
      </c>
    </row>
    <row r="170" spans="1:25" ht="15" x14ac:dyDescent="0.2">
      <c r="A170" s="353" t="s">
        <v>860</v>
      </c>
      <c r="B170" s="23" t="s">
        <v>54</v>
      </c>
      <c r="C170" s="32" t="s">
        <v>193</v>
      </c>
      <c r="D170" s="139" t="str">
        <f>VLOOKUP(C170,'Seznam HS - nemaš'!$A$1:$B$96,2,FALSE)</f>
        <v>432100</v>
      </c>
      <c r="E170" s="22" t="s">
        <v>890</v>
      </c>
      <c r="F170" s="30" t="s">
        <v>724</v>
      </c>
      <c r="G170" s="30"/>
      <c r="H170" s="28">
        <f>+IF(ISBLANK(I170),0,VLOOKUP(I170,'8Příloha_2_ceník_pravid_úklid'!$B$9:$C$30,2,0))</f>
        <v>7</v>
      </c>
      <c r="I170" s="143" t="s">
        <v>14</v>
      </c>
      <c r="J170" s="145">
        <v>3</v>
      </c>
      <c r="K170" s="275" t="s">
        <v>50</v>
      </c>
      <c r="L170" s="156" t="s">
        <v>537</v>
      </c>
      <c r="M170" s="22" t="s">
        <v>49</v>
      </c>
      <c r="N170" s="24">
        <f>IF((VLOOKUP(I170,'8Příloha_2_ceník_pravid_úklid'!$B$9:$I$30,8,0))=0,VLOOKUP(I170,'8Příloha_2_ceník_pravid_úklid'!$B$9:$K$30,10,0),VLOOKUP(I170,'8Příloha_2_ceník_pravid_úklid'!$B$9:$I$30,8,0))</f>
        <v>0</v>
      </c>
      <c r="O170" s="20">
        <v>1</v>
      </c>
      <c r="P170" s="20">
        <v>1</v>
      </c>
      <c r="Q170" s="20">
        <v>1</v>
      </c>
      <c r="R170" s="20">
        <v>1</v>
      </c>
      <c r="S170" s="21">
        <f>NETWORKDAYS.INTL(DATE(2018,1,1),DATE(2018,12,31),1,{"2018/1/1";"2018/3/30";"2018/4/2";"2018/5/1";"2018/5/8";"2018/7/5";"2018/7/6";"2018/09/28";"2018/11/17";"2018/12/24";"2018/12/25";"2018/12/26"})</f>
        <v>250</v>
      </c>
      <c r="T170" s="21">
        <f t="shared" si="11"/>
        <v>115</v>
      </c>
      <c r="U170" s="21">
        <f t="shared" si="12"/>
        <v>365</v>
      </c>
      <c r="V170" s="311">
        <f t="shared" si="13"/>
        <v>365</v>
      </c>
      <c r="W170" s="140">
        <f t="shared" si="14"/>
        <v>0</v>
      </c>
      <c r="X170" s="141">
        <f t="shared" si="15"/>
        <v>0</v>
      </c>
      <c r="Y170" s="141">
        <v>0</v>
      </c>
    </row>
    <row r="171" spans="1:25" ht="15" x14ac:dyDescent="0.2">
      <c r="A171" s="353" t="s">
        <v>860</v>
      </c>
      <c r="B171" s="23" t="s">
        <v>54</v>
      </c>
      <c r="C171" s="32" t="s">
        <v>193</v>
      </c>
      <c r="D171" s="139" t="str">
        <f>VLOOKUP(C171,'Seznam HS - nemaš'!$A$1:$B$96,2,FALSE)</f>
        <v>432100</v>
      </c>
      <c r="E171" s="22" t="s">
        <v>891</v>
      </c>
      <c r="F171" s="30" t="s">
        <v>53</v>
      </c>
      <c r="G171" s="30"/>
      <c r="H171" s="28">
        <f>+IF(ISBLANK(I171),0,VLOOKUP(I171,'8Příloha_2_ceník_pravid_úklid'!$B$9:$C$30,2,0))</f>
        <v>6</v>
      </c>
      <c r="I171" s="143" t="s">
        <v>1</v>
      </c>
      <c r="J171" s="145">
        <v>64</v>
      </c>
      <c r="K171" s="275" t="s">
        <v>51</v>
      </c>
      <c r="L171" s="156" t="s">
        <v>22</v>
      </c>
      <c r="M171" s="22" t="s">
        <v>49</v>
      </c>
      <c r="N171" s="24">
        <f>IF((VLOOKUP(I171,'8Příloha_2_ceník_pravid_úklid'!$B$9:$I$30,8,0))=0,VLOOKUP(I171,'8Příloha_2_ceník_pravid_úklid'!$B$9:$K$30,10,0),VLOOKUP(I171,'8Příloha_2_ceník_pravid_úklid'!$B$9:$I$30,8,0))</f>
        <v>0</v>
      </c>
      <c r="O171" s="20">
        <v>2</v>
      </c>
      <c r="P171" s="20">
        <v>1</v>
      </c>
      <c r="Q171" s="20">
        <v>2</v>
      </c>
      <c r="R171" s="20">
        <v>1</v>
      </c>
      <c r="S171" s="21">
        <f>NETWORKDAYS.INTL(DATE(2018,1,1),DATE(2018,12,31),1,{"2018/1/1";"2018/3/30";"2018/4/2";"2018/5/1";"2018/5/8";"2018/7/5";"2018/7/6";"2018/09/28";"2018/11/17";"2018/12/24";"2018/12/25";"2018/12/26"})</f>
        <v>250</v>
      </c>
      <c r="T171" s="21">
        <f t="shared" si="11"/>
        <v>115</v>
      </c>
      <c r="U171" s="21">
        <f t="shared" si="12"/>
        <v>365</v>
      </c>
      <c r="V171" s="311">
        <f t="shared" si="13"/>
        <v>730</v>
      </c>
      <c r="W171" s="140">
        <f t="shared" si="14"/>
        <v>0</v>
      </c>
      <c r="X171" s="141">
        <f t="shared" si="15"/>
        <v>0</v>
      </c>
      <c r="Y171" s="141">
        <v>0</v>
      </c>
    </row>
    <row r="172" spans="1:25" ht="15" x14ac:dyDescent="0.2">
      <c r="A172" s="354" t="s">
        <v>860</v>
      </c>
      <c r="B172" s="236" t="s">
        <v>54</v>
      </c>
      <c r="C172" s="222" t="s">
        <v>193</v>
      </c>
      <c r="D172" s="535" t="str">
        <f>VLOOKUP(C172,'Seznam HS - nemaš'!$A$1:$B$96,2,FALSE)</f>
        <v>432100</v>
      </c>
      <c r="E172" s="237" t="s">
        <v>892</v>
      </c>
      <c r="F172" s="303" t="s">
        <v>893</v>
      </c>
      <c r="G172" s="303"/>
      <c r="H172" s="224">
        <f>+IF(ISBLANK(I172),0,VLOOKUP(I172,'8Příloha_2_ceník_pravid_úklid'!$B$9:$C$30,2,0))</f>
        <v>0</v>
      </c>
      <c r="I172" s="273"/>
      <c r="J172" s="241">
        <v>5.36</v>
      </c>
      <c r="K172" s="240" t="s">
        <v>50</v>
      </c>
      <c r="L172" s="242" t="s">
        <v>66</v>
      </c>
      <c r="M172" s="237" t="s">
        <v>49</v>
      </c>
      <c r="N172" s="229" t="s">
        <v>501</v>
      </c>
      <c r="O172" s="230">
        <v>0</v>
      </c>
      <c r="P172" s="230">
        <v>0</v>
      </c>
      <c r="Q172" s="230">
        <v>0</v>
      </c>
      <c r="R172" s="230">
        <v>0</v>
      </c>
      <c r="S172" s="231">
        <f>NETWORKDAYS.INTL(DATE(2018,1,1),DATE(2018,12,31),1,{"2018/1/1";"2018/3/30";"2018/4/2";"2018/5/1";"2018/5/8";"2018/7/5";"2018/7/6";"2018/09/28";"2018/11/17";"2018/12/24";"2018/12/25";"2018/12/26"})</f>
        <v>250</v>
      </c>
      <c r="T172" s="231">
        <f t="shared" si="11"/>
        <v>115</v>
      </c>
      <c r="U172" s="231">
        <f t="shared" si="12"/>
        <v>365</v>
      </c>
      <c r="V172" s="312">
        <f t="shared" si="13"/>
        <v>0</v>
      </c>
      <c r="W172" s="233">
        <f t="shared" si="14"/>
        <v>0</v>
      </c>
      <c r="X172" s="234">
        <f t="shared" si="15"/>
        <v>0</v>
      </c>
      <c r="Y172" s="234">
        <f t="shared" si="15"/>
        <v>0</v>
      </c>
    </row>
    <row r="173" spans="1:25" ht="15" x14ac:dyDescent="0.2">
      <c r="A173" s="353" t="s">
        <v>860</v>
      </c>
      <c r="B173" s="23" t="s">
        <v>54</v>
      </c>
      <c r="C173" s="32" t="s">
        <v>193</v>
      </c>
      <c r="D173" s="139" t="str">
        <f>VLOOKUP(C173,'Seznam HS - nemaš'!$A$1:$B$96,2,FALSE)</f>
        <v>432100</v>
      </c>
      <c r="E173" s="22" t="s">
        <v>894</v>
      </c>
      <c r="F173" s="30" t="s">
        <v>561</v>
      </c>
      <c r="G173" s="30"/>
      <c r="H173" s="28">
        <f>+IF(ISBLANK(I173),0,VLOOKUP(I173,'8Příloha_2_ceník_pravid_úklid'!$B$9:$C$30,2,0))</f>
        <v>7</v>
      </c>
      <c r="I173" s="143" t="s">
        <v>14</v>
      </c>
      <c r="J173" s="145">
        <v>9.58</v>
      </c>
      <c r="K173" s="275" t="s">
        <v>50</v>
      </c>
      <c r="L173" s="156" t="s">
        <v>22</v>
      </c>
      <c r="M173" s="22" t="s">
        <v>49</v>
      </c>
      <c r="N173" s="24">
        <f>IF((VLOOKUP(I173,'8Příloha_2_ceník_pravid_úklid'!$B$9:$I$30,8,0))=0,VLOOKUP(I173,'8Příloha_2_ceník_pravid_úklid'!$B$9:$K$30,10,0),VLOOKUP(I173,'8Příloha_2_ceník_pravid_úklid'!$B$9:$I$30,8,0))</f>
        <v>0</v>
      </c>
      <c r="O173" s="20">
        <v>2</v>
      </c>
      <c r="P173" s="20">
        <v>1</v>
      </c>
      <c r="Q173" s="20">
        <v>2</v>
      </c>
      <c r="R173" s="20">
        <v>1</v>
      </c>
      <c r="S173" s="21">
        <f>NETWORKDAYS.INTL(DATE(2018,1,1),DATE(2018,12,31),1,{"2018/1/1";"2018/3/30";"2018/4/2";"2018/5/1";"2018/5/8";"2018/7/5";"2018/7/6";"2018/09/28";"2018/11/17";"2018/12/24";"2018/12/25";"2018/12/26"})</f>
        <v>250</v>
      </c>
      <c r="T173" s="21">
        <f t="shared" si="11"/>
        <v>115</v>
      </c>
      <c r="U173" s="21">
        <f t="shared" si="12"/>
        <v>365</v>
      </c>
      <c r="V173" s="311">
        <f t="shared" si="13"/>
        <v>730</v>
      </c>
      <c r="W173" s="140">
        <f t="shared" si="14"/>
        <v>0</v>
      </c>
      <c r="X173" s="141">
        <f t="shared" si="15"/>
        <v>0</v>
      </c>
      <c r="Y173" s="141">
        <v>0</v>
      </c>
    </row>
    <row r="174" spans="1:25" ht="15" x14ac:dyDescent="0.2">
      <c r="A174" s="353" t="s">
        <v>860</v>
      </c>
      <c r="B174" s="23" t="s">
        <v>54</v>
      </c>
      <c r="C174" s="32" t="s">
        <v>193</v>
      </c>
      <c r="D174" s="139" t="str">
        <f>VLOOKUP(C174,'Seznam HS - nemaš'!$A$1:$B$96,2,FALSE)</f>
        <v>432100</v>
      </c>
      <c r="E174" s="22" t="s">
        <v>895</v>
      </c>
      <c r="F174" s="30" t="s">
        <v>389</v>
      </c>
      <c r="G174" s="30"/>
      <c r="H174" s="28">
        <f>+IF(ISBLANK(I174),0,VLOOKUP(I174,'8Příloha_2_ceník_pravid_úklid'!$B$9:$C$30,2,0))</f>
        <v>17</v>
      </c>
      <c r="I174" s="143" t="s">
        <v>13</v>
      </c>
      <c r="J174" s="145">
        <v>5.26</v>
      </c>
      <c r="K174" s="275" t="s">
        <v>51</v>
      </c>
      <c r="L174" s="156" t="s">
        <v>21</v>
      </c>
      <c r="M174" s="22" t="s">
        <v>49</v>
      </c>
      <c r="N174" s="24">
        <f>IF((VLOOKUP(I174,'8Příloha_2_ceník_pravid_úklid'!$B$9:$I$30,8,0))=0,VLOOKUP(I174,'8Příloha_2_ceník_pravid_úklid'!$B$9:$K$30,10,0),VLOOKUP(I174,'8Příloha_2_ceník_pravid_úklid'!$B$9:$I$30,8,0))</f>
        <v>0</v>
      </c>
      <c r="O174" s="20">
        <v>1</v>
      </c>
      <c r="P174" s="20">
        <v>1</v>
      </c>
      <c r="Q174" s="20">
        <v>0</v>
      </c>
      <c r="R174" s="20">
        <v>0</v>
      </c>
      <c r="S174" s="21">
        <f>NETWORKDAYS.INTL(DATE(2018,1,1),DATE(2018,12,31),1,{"2018/1/1";"2018/3/30";"2018/4/2";"2018/5/1";"2018/5/8";"2018/7/5";"2018/7/6";"2018/09/28";"2018/11/17";"2018/12/24";"2018/12/25";"2018/12/26"})</f>
        <v>250</v>
      </c>
      <c r="T174" s="21">
        <f t="shared" si="11"/>
        <v>115</v>
      </c>
      <c r="U174" s="21">
        <f t="shared" si="12"/>
        <v>365</v>
      </c>
      <c r="V174" s="311">
        <f t="shared" si="13"/>
        <v>250</v>
      </c>
      <c r="W174" s="140">
        <f t="shared" si="14"/>
        <v>0</v>
      </c>
      <c r="X174" s="141">
        <f t="shared" si="15"/>
        <v>0</v>
      </c>
      <c r="Y174" s="141">
        <v>0</v>
      </c>
    </row>
    <row r="175" spans="1:25" ht="15" x14ac:dyDescent="0.2">
      <c r="A175" s="353" t="s">
        <v>860</v>
      </c>
      <c r="B175" s="23" t="s">
        <v>54</v>
      </c>
      <c r="C175" s="32" t="s">
        <v>193</v>
      </c>
      <c r="D175" s="139" t="str">
        <f>VLOOKUP(C175,'Seznam HS - nemaš'!$A$1:$B$96,2,FALSE)</f>
        <v>432100</v>
      </c>
      <c r="E175" s="22" t="s">
        <v>896</v>
      </c>
      <c r="F175" s="30" t="s">
        <v>389</v>
      </c>
      <c r="G175" s="30"/>
      <c r="H175" s="28">
        <f>+IF(ISBLANK(I175),0,VLOOKUP(I175,'8Příloha_2_ceník_pravid_úklid'!$B$9:$C$30,2,0))</f>
        <v>17</v>
      </c>
      <c r="I175" s="143" t="s">
        <v>13</v>
      </c>
      <c r="J175" s="145">
        <v>5.0999999999999996</v>
      </c>
      <c r="K175" s="275" t="s">
        <v>51</v>
      </c>
      <c r="L175" s="156" t="s">
        <v>21</v>
      </c>
      <c r="M175" s="22" t="s">
        <v>49</v>
      </c>
      <c r="N175" s="24">
        <f>IF((VLOOKUP(I175,'8Příloha_2_ceník_pravid_úklid'!$B$9:$I$30,8,0))=0,VLOOKUP(I175,'8Příloha_2_ceník_pravid_úklid'!$B$9:$K$30,10,0),VLOOKUP(I175,'8Příloha_2_ceník_pravid_úklid'!$B$9:$I$30,8,0))</f>
        <v>0</v>
      </c>
      <c r="O175" s="20">
        <v>1</v>
      </c>
      <c r="P175" s="20">
        <v>1</v>
      </c>
      <c r="Q175" s="20">
        <v>0</v>
      </c>
      <c r="R175" s="20">
        <v>0</v>
      </c>
      <c r="S175" s="21">
        <f>NETWORKDAYS.INTL(DATE(2018,1,1),DATE(2018,12,31),1,{"2018/1/1";"2018/3/30";"2018/4/2";"2018/5/1";"2018/5/8";"2018/7/5";"2018/7/6";"2018/09/28";"2018/11/17";"2018/12/24";"2018/12/25";"2018/12/26"})</f>
        <v>250</v>
      </c>
      <c r="T175" s="21">
        <f t="shared" si="11"/>
        <v>115</v>
      </c>
      <c r="U175" s="21">
        <f t="shared" si="12"/>
        <v>365</v>
      </c>
      <c r="V175" s="311">
        <f t="shared" si="13"/>
        <v>250</v>
      </c>
      <c r="W175" s="140">
        <f t="shared" si="14"/>
        <v>0</v>
      </c>
      <c r="X175" s="141">
        <f t="shared" si="15"/>
        <v>0</v>
      </c>
      <c r="Y175" s="141">
        <v>0</v>
      </c>
    </row>
    <row r="176" spans="1:25" ht="15" x14ac:dyDescent="0.2">
      <c r="A176" s="353" t="s">
        <v>860</v>
      </c>
      <c r="B176" s="23" t="s">
        <v>54</v>
      </c>
      <c r="C176" s="32" t="s">
        <v>193</v>
      </c>
      <c r="D176" s="139" t="str">
        <f>VLOOKUP(C176,'Seznam HS - nemaš'!$A$1:$B$96,2,FALSE)</f>
        <v>432100</v>
      </c>
      <c r="E176" s="22" t="s">
        <v>897</v>
      </c>
      <c r="F176" s="30" t="s">
        <v>565</v>
      </c>
      <c r="G176" s="30"/>
      <c r="H176" s="28">
        <f>+IF(ISBLANK(I176),0,VLOOKUP(I176,'8Příloha_2_ceník_pravid_úklid'!$B$9:$C$30,2,0))</f>
        <v>2</v>
      </c>
      <c r="I176" s="143" t="s">
        <v>2</v>
      </c>
      <c r="J176" s="145">
        <v>9.36</v>
      </c>
      <c r="K176" s="275" t="s">
        <v>51</v>
      </c>
      <c r="L176" s="156" t="s">
        <v>537</v>
      </c>
      <c r="M176" s="22" t="s">
        <v>49</v>
      </c>
      <c r="N176" s="24">
        <f>IF((VLOOKUP(I176,'8Příloha_2_ceník_pravid_úklid'!$B$9:$I$30,8,0))=0,VLOOKUP(I176,'8Příloha_2_ceník_pravid_úklid'!$B$9:$K$30,10,0),VLOOKUP(I176,'8Příloha_2_ceník_pravid_úklid'!$B$9:$I$30,8,0))</f>
        <v>0</v>
      </c>
      <c r="O176" s="20">
        <v>1</v>
      </c>
      <c r="P176" s="20">
        <v>1</v>
      </c>
      <c r="Q176" s="20">
        <v>1</v>
      </c>
      <c r="R176" s="20">
        <v>1</v>
      </c>
      <c r="S176" s="21">
        <f>NETWORKDAYS.INTL(DATE(2018,1,1),DATE(2018,12,31),1,{"2018/1/1";"2018/3/30";"2018/4/2";"2018/5/1";"2018/5/8";"2018/7/5";"2018/7/6";"2018/09/28";"2018/11/17";"2018/12/24";"2018/12/25";"2018/12/26"})</f>
        <v>250</v>
      </c>
      <c r="T176" s="21">
        <f t="shared" si="11"/>
        <v>115</v>
      </c>
      <c r="U176" s="21">
        <f t="shared" si="12"/>
        <v>365</v>
      </c>
      <c r="V176" s="311">
        <f t="shared" si="13"/>
        <v>365</v>
      </c>
      <c r="W176" s="140">
        <f t="shared" si="14"/>
        <v>0</v>
      </c>
      <c r="X176" s="141">
        <f t="shared" si="15"/>
        <v>0</v>
      </c>
      <c r="Y176" s="141">
        <v>0</v>
      </c>
    </row>
    <row r="177" spans="1:26" ht="15" x14ac:dyDescent="0.2">
      <c r="A177" s="353" t="s">
        <v>860</v>
      </c>
      <c r="B177" s="23" t="s">
        <v>54</v>
      </c>
      <c r="C177" s="32" t="s">
        <v>193</v>
      </c>
      <c r="D177" s="139" t="str">
        <f>VLOOKUP(C177,'Seznam HS - nemaš'!$A$1:$B$96,2,FALSE)</f>
        <v>432100</v>
      </c>
      <c r="E177" s="22" t="s">
        <v>898</v>
      </c>
      <c r="F177" s="30" t="s">
        <v>633</v>
      </c>
      <c r="G177" s="30"/>
      <c r="H177" s="28">
        <f>+IF(ISBLANK(I177),0,VLOOKUP(I177,'8Příloha_2_ceník_pravid_úklid'!$B$9:$C$30,2,0))</f>
        <v>4</v>
      </c>
      <c r="I177" s="143" t="s">
        <v>9</v>
      </c>
      <c r="J177" s="145">
        <v>9.65</v>
      </c>
      <c r="K177" s="275" t="s">
        <v>51</v>
      </c>
      <c r="L177" s="156" t="s">
        <v>487</v>
      </c>
      <c r="M177" s="22" t="s">
        <v>49</v>
      </c>
      <c r="N177" s="24">
        <f>IF((VLOOKUP(I177,'8Příloha_2_ceník_pravid_úklid'!$B$9:$I$30,8,0))=0,VLOOKUP(I177,'8Příloha_2_ceník_pravid_úklid'!$B$9:$K$30,10,0),VLOOKUP(I177,'8Příloha_2_ceník_pravid_úklid'!$B$9:$I$30,8,0))</f>
        <v>0</v>
      </c>
      <c r="O177" s="20">
        <v>1</v>
      </c>
      <c r="P177" s="20">
        <f>1/5</f>
        <v>0.2</v>
      </c>
      <c r="Q177" s="20">
        <v>0</v>
      </c>
      <c r="R177" s="20">
        <v>0</v>
      </c>
      <c r="S177" s="21">
        <f>NETWORKDAYS.INTL(DATE(2018,1,1),DATE(2018,12,31),1,{"2018/1/1";"2018/3/30";"2018/4/2";"2018/5/1";"2018/5/8";"2018/7/5";"2018/7/6";"2018/09/28";"2018/11/17";"2018/12/24";"2018/12/25";"2018/12/26"})</f>
        <v>250</v>
      </c>
      <c r="T177" s="21">
        <f t="shared" si="11"/>
        <v>115</v>
      </c>
      <c r="U177" s="21">
        <f t="shared" si="12"/>
        <v>365</v>
      </c>
      <c r="V177" s="311">
        <f t="shared" si="13"/>
        <v>50</v>
      </c>
      <c r="W177" s="140">
        <f t="shared" si="14"/>
        <v>0</v>
      </c>
      <c r="X177" s="141">
        <f t="shared" si="15"/>
        <v>0</v>
      </c>
      <c r="Y177" s="141">
        <v>0</v>
      </c>
    </row>
    <row r="178" spans="1:26" ht="15" x14ac:dyDescent="0.2">
      <c r="A178" s="276" t="s">
        <v>899</v>
      </c>
      <c r="B178" s="23" t="s">
        <v>54</v>
      </c>
      <c r="C178" s="32" t="s">
        <v>195</v>
      </c>
      <c r="D178" s="139" t="str">
        <f>VLOOKUP(C178,'Seznam HS - nemaš'!$A$1:$B$96,2,FALSE)</f>
        <v>432400</v>
      </c>
      <c r="E178" s="22" t="s">
        <v>900</v>
      </c>
      <c r="F178" s="30" t="s">
        <v>492</v>
      </c>
      <c r="G178" s="30"/>
      <c r="H178" s="28">
        <f>+IF(ISBLANK(I178),0,VLOOKUP(I178,'8Příloha_2_ceník_pravid_úklid'!$B$9:$C$30,2,0))</f>
        <v>4</v>
      </c>
      <c r="I178" s="143" t="s">
        <v>9</v>
      </c>
      <c r="J178" s="145">
        <v>8.5500000000000007</v>
      </c>
      <c r="K178" s="275" t="s">
        <v>51</v>
      </c>
      <c r="L178" s="156" t="s">
        <v>65</v>
      </c>
      <c r="M178" s="22" t="s">
        <v>49</v>
      </c>
      <c r="N178" s="24">
        <f>IF((VLOOKUP(I178,'8Příloha_2_ceník_pravid_úklid'!$B$9:$I$30,8,0))=0,VLOOKUP(I178,'8Příloha_2_ceník_pravid_úklid'!$B$9:$K$30,10,0),VLOOKUP(I178,'8Příloha_2_ceník_pravid_úklid'!$B$9:$I$30,8,0))</f>
        <v>0</v>
      </c>
      <c r="O178" s="20">
        <v>2</v>
      </c>
      <c r="P178" s="20">
        <v>1</v>
      </c>
      <c r="Q178" s="20">
        <v>0</v>
      </c>
      <c r="R178" s="20">
        <v>0</v>
      </c>
      <c r="S178" s="21">
        <f>NETWORKDAYS.INTL(DATE(2018,1,1),DATE(2018,12,31),1,{"2018/1/1";"2018/3/30";"2018/4/2";"2018/5/1";"2018/5/8";"2018/7/5";"2018/7/6";"2018/09/28";"2018/11/17";"2018/12/24";"2018/12/25";"2018/12/26"})</f>
        <v>250</v>
      </c>
      <c r="T178" s="21">
        <f t="shared" si="11"/>
        <v>115</v>
      </c>
      <c r="U178" s="21">
        <f t="shared" si="12"/>
        <v>365</v>
      </c>
      <c r="V178" s="311">
        <f t="shared" si="13"/>
        <v>500</v>
      </c>
      <c r="W178" s="140">
        <f t="shared" si="14"/>
        <v>0</v>
      </c>
      <c r="X178" s="141">
        <f t="shared" si="15"/>
        <v>0</v>
      </c>
      <c r="Y178" s="141">
        <v>0</v>
      </c>
    </row>
    <row r="179" spans="1:26" ht="15" x14ac:dyDescent="0.2">
      <c r="A179" s="276" t="s">
        <v>899</v>
      </c>
      <c r="B179" s="23" t="s">
        <v>54</v>
      </c>
      <c r="C179" s="32" t="s">
        <v>195</v>
      </c>
      <c r="D179" s="139" t="str">
        <f>VLOOKUP(C179,'Seznam HS - nemaš'!$A$1:$B$96,2,FALSE)</f>
        <v>432400</v>
      </c>
      <c r="E179" s="22" t="s">
        <v>901</v>
      </c>
      <c r="F179" s="30" t="s">
        <v>383</v>
      </c>
      <c r="G179" s="30"/>
      <c r="H179" s="28">
        <f>+IF(ISBLANK(I179),0,VLOOKUP(I179,'8Příloha_2_ceník_pravid_úklid'!$B$9:$C$30,2,0))</f>
        <v>6</v>
      </c>
      <c r="I179" s="143" t="s">
        <v>1</v>
      </c>
      <c r="J179" s="145">
        <v>16.36</v>
      </c>
      <c r="K179" s="275" t="s">
        <v>51</v>
      </c>
      <c r="L179" s="156" t="s">
        <v>65</v>
      </c>
      <c r="M179" s="22" t="s">
        <v>49</v>
      </c>
      <c r="N179" s="24">
        <f>IF((VLOOKUP(I179,'8Příloha_2_ceník_pravid_úklid'!$B$9:$I$30,8,0))=0,VLOOKUP(I179,'8Příloha_2_ceník_pravid_úklid'!$B$9:$K$30,10,0),VLOOKUP(I179,'8Příloha_2_ceník_pravid_úklid'!$B$9:$I$30,8,0))</f>
        <v>0</v>
      </c>
      <c r="O179" s="20">
        <v>2</v>
      </c>
      <c r="P179" s="20">
        <v>1</v>
      </c>
      <c r="Q179" s="20">
        <v>0</v>
      </c>
      <c r="R179" s="20">
        <v>0</v>
      </c>
      <c r="S179" s="21">
        <f>NETWORKDAYS.INTL(DATE(2018,1,1),DATE(2018,12,31),1,{"2018/1/1";"2018/3/30";"2018/4/2";"2018/5/1";"2018/5/8";"2018/7/5";"2018/7/6";"2018/09/28";"2018/11/17";"2018/12/24";"2018/12/25";"2018/12/26"})</f>
        <v>250</v>
      </c>
      <c r="T179" s="21">
        <f t="shared" si="11"/>
        <v>115</v>
      </c>
      <c r="U179" s="21">
        <f t="shared" si="12"/>
        <v>365</v>
      </c>
      <c r="V179" s="311">
        <f t="shared" si="13"/>
        <v>500</v>
      </c>
      <c r="W179" s="140">
        <f t="shared" si="14"/>
        <v>0</v>
      </c>
      <c r="X179" s="141">
        <f t="shared" si="15"/>
        <v>0</v>
      </c>
      <c r="Y179" s="141">
        <v>0</v>
      </c>
    </row>
    <row r="180" spans="1:26" ht="15" x14ac:dyDescent="0.2">
      <c r="A180" s="276" t="s">
        <v>899</v>
      </c>
      <c r="B180" s="23" t="s">
        <v>54</v>
      </c>
      <c r="C180" s="32" t="s">
        <v>195</v>
      </c>
      <c r="D180" s="139" t="str">
        <f>VLOOKUP(C180,'Seznam HS - nemaš'!$A$1:$B$96,2,FALSE)</f>
        <v>432400</v>
      </c>
      <c r="E180" s="22" t="s">
        <v>902</v>
      </c>
      <c r="F180" s="30" t="s">
        <v>53</v>
      </c>
      <c r="G180" s="30"/>
      <c r="H180" s="28">
        <f>+IF(ISBLANK(I180),0,VLOOKUP(I180,'8Příloha_2_ceník_pravid_úklid'!$B$9:$C$30,2,0))</f>
        <v>6</v>
      </c>
      <c r="I180" s="143" t="s">
        <v>1</v>
      </c>
      <c r="J180" s="145">
        <v>53.95</v>
      </c>
      <c r="K180" s="275" t="s">
        <v>51</v>
      </c>
      <c r="L180" s="156" t="s">
        <v>65</v>
      </c>
      <c r="M180" s="22" t="s">
        <v>49</v>
      </c>
      <c r="N180" s="24">
        <f>IF((VLOOKUP(I180,'8Příloha_2_ceník_pravid_úklid'!$B$9:$I$30,8,0))=0,VLOOKUP(I180,'8Příloha_2_ceník_pravid_úklid'!$B$9:$K$30,10,0),VLOOKUP(I180,'8Příloha_2_ceník_pravid_úklid'!$B$9:$I$30,8,0))</f>
        <v>0</v>
      </c>
      <c r="O180" s="20">
        <v>2</v>
      </c>
      <c r="P180" s="20">
        <v>1</v>
      </c>
      <c r="Q180" s="20">
        <v>0</v>
      </c>
      <c r="R180" s="20">
        <v>0</v>
      </c>
      <c r="S180" s="21">
        <f>NETWORKDAYS.INTL(DATE(2018,1,1),DATE(2018,12,31),1,{"2018/1/1";"2018/3/30";"2018/4/2";"2018/5/1";"2018/5/8";"2018/7/5";"2018/7/6";"2018/09/28";"2018/11/17";"2018/12/24";"2018/12/25";"2018/12/26"})</f>
        <v>250</v>
      </c>
      <c r="T180" s="21">
        <f t="shared" si="11"/>
        <v>115</v>
      </c>
      <c r="U180" s="21">
        <f t="shared" si="12"/>
        <v>365</v>
      </c>
      <c r="V180" s="311">
        <f t="shared" si="13"/>
        <v>500</v>
      </c>
      <c r="W180" s="140">
        <f t="shared" si="14"/>
        <v>0</v>
      </c>
      <c r="X180" s="141">
        <f t="shared" si="15"/>
        <v>0</v>
      </c>
      <c r="Y180" s="141">
        <v>0</v>
      </c>
    </row>
    <row r="181" spans="1:26" ht="15" x14ac:dyDescent="0.2">
      <c r="A181" s="276" t="s">
        <v>899</v>
      </c>
      <c r="B181" s="23" t="s">
        <v>54</v>
      </c>
      <c r="C181" s="32" t="s">
        <v>195</v>
      </c>
      <c r="D181" s="139" t="str">
        <f>VLOOKUP(C181,'Seznam HS - nemaš'!$A$1:$B$96,2,FALSE)</f>
        <v>432400</v>
      </c>
      <c r="E181" s="22" t="s">
        <v>903</v>
      </c>
      <c r="F181" s="30" t="s">
        <v>437</v>
      </c>
      <c r="G181" s="30" t="s">
        <v>444</v>
      </c>
      <c r="H181" s="28">
        <f>+IF(ISBLANK(I181),0,VLOOKUP(I181,'8Příloha_2_ceník_pravid_úklid'!$B$9:$C$30,2,0))</f>
        <v>7</v>
      </c>
      <c r="I181" s="143" t="s">
        <v>14</v>
      </c>
      <c r="J181" s="145">
        <v>1.62</v>
      </c>
      <c r="K181" s="275" t="s">
        <v>50</v>
      </c>
      <c r="L181" s="156" t="s">
        <v>65</v>
      </c>
      <c r="M181" s="22" t="s">
        <v>49</v>
      </c>
      <c r="N181" s="24">
        <f>IF((VLOOKUP(I181,'8Příloha_2_ceník_pravid_úklid'!$B$9:$I$30,8,0))=0,VLOOKUP(I181,'8Příloha_2_ceník_pravid_úklid'!$B$9:$K$30,10,0),VLOOKUP(I181,'8Příloha_2_ceník_pravid_úklid'!$B$9:$I$30,8,0))</f>
        <v>0</v>
      </c>
      <c r="O181" s="20">
        <v>2</v>
      </c>
      <c r="P181" s="20">
        <v>1</v>
      </c>
      <c r="Q181" s="20">
        <v>0</v>
      </c>
      <c r="R181" s="20">
        <v>0</v>
      </c>
      <c r="S181" s="21">
        <f>NETWORKDAYS.INTL(DATE(2018,1,1),DATE(2018,12,31),1,{"2018/1/1";"2018/3/30";"2018/4/2";"2018/5/1";"2018/5/8";"2018/7/5";"2018/7/6";"2018/09/28";"2018/11/17";"2018/12/24";"2018/12/25";"2018/12/26"})</f>
        <v>250</v>
      </c>
      <c r="T181" s="21">
        <f t="shared" si="11"/>
        <v>115</v>
      </c>
      <c r="U181" s="21">
        <f t="shared" si="12"/>
        <v>365</v>
      </c>
      <c r="V181" s="311">
        <f t="shared" si="13"/>
        <v>500</v>
      </c>
      <c r="W181" s="140">
        <f t="shared" si="14"/>
        <v>0</v>
      </c>
      <c r="X181" s="141">
        <f t="shared" si="15"/>
        <v>0</v>
      </c>
      <c r="Y181" s="141">
        <v>0</v>
      </c>
    </row>
    <row r="182" spans="1:26" ht="15" x14ac:dyDescent="0.2">
      <c r="A182" s="276" t="s">
        <v>899</v>
      </c>
      <c r="B182" s="23" t="s">
        <v>54</v>
      </c>
      <c r="C182" s="32" t="s">
        <v>195</v>
      </c>
      <c r="D182" s="139" t="str">
        <f>VLOOKUP(C182,'Seznam HS - nemaš'!$A$1:$B$96,2,FALSE)</f>
        <v>432400</v>
      </c>
      <c r="E182" s="22" t="s">
        <v>904</v>
      </c>
      <c r="F182" s="30" t="s">
        <v>437</v>
      </c>
      <c r="G182" s="30" t="s">
        <v>539</v>
      </c>
      <c r="H182" s="28">
        <f>+IF(ISBLANK(I182),0,VLOOKUP(I182,'8Příloha_2_ceník_pravid_úklid'!$B$9:$C$30,2,0))</f>
        <v>7</v>
      </c>
      <c r="I182" s="143" t="s">
        <v>14</v>
      </c>
      <c r="J182" s="145">
        <v>1.94</v>
      </c>
      <c r="K182" s="275" t="s">
        <v>50</v>
      </c>
      <c r="L182" s="156" t="s">
        <v>65</v>
      </c>
      <c r="M182" s="22" t="s">
        <v>49</v>
      </c>
      <c r="N182" s="24">
        <f>IF((VLOOKUP(I182,'8Příloha_2_ceník_pravid_úklid'!$B$9:$I$30,8,0))=0,VLOOKUP(I182,'8Příloha_2_ceník_pravid_úklid'!$B$9:$K$30,10,0),VLOOKUP(I182,'8Příloha_2_ceník_pravid_úklid'!$B$9:$I$30,8,0))</f>
        <v>0</v>
      </c>
      <c r="O182" s="20">
        <v>2</v>
      </c>
      <c r="P182" s="20">
        <v>1</v>
      </c>
      <c r="Q182" s="20">
        <v>0</v>
      </c>
      <c r="R182" s="20">
        <v>0</v>
      </c>
      <c r="S182" s="21">
        <f>NETWORKDAYS.INTL(DATE(2018,1,1),DATE(2018,12,31),1,{"2018/1/1";"2018/3/30";"2018/4/2";"2018/5/1";"2018/5/8";"2018/7/5";"2018/7/6";"2018/09/28";"2018/11/17";"2018/12/24";"2018/12/25";"2018/12/26"})</f>
        <v>250</v>
      </c>
      <c r="T182" s="21">
        <f t="shared" si="11"/>
        <v>115</v>
      </c>
      <c r="U182" s="21">
        <f t="shared" si="12"/>
        <v>365</v>
      </c>
      <c r="V182" s="311">
        <f t="shared" si="13"/>
        <v>500</v>
      </c>
      <c r="W182" s="140">
        <f t="shared" si="14"/>
        <v>0</v>
      </c>
      <c r="X182" s="141">
        <f t="shared" si="15"/>
        <v>0</v>
      </c>
      <c r="Y182" s="141">
        <v>0</v>
      </c>
    </row>
    <row r="183" spans="1:26" ht="15" x14ac:dyDescent="0.2">
      <c r="A183" s="276" t="s">
        <v>899</v>
      </c>
      <c r="B183" s="23" t="s">
        <v>54</v>
      </c>
      <c r="C183" s="32" t="s">
        <v>195</v>
      </c>
      <c r="D183" s="139" t="str">
        <f>VLOOKUP(C183,'Seznam HS - nemaš'!$A$1:$B$96,2,FALSE)</f>
        <v>432400</v>
      </c>
      <c r="E183" s="22" t="s">
        <v>905</v>
      </c>
      <c r="F183" s="30" t="s">
        <v>437</v>
      </c>
      <c r="G183" s="30" t="s">
        <v>444</v>
      </c>
      <c r="H183" s="28">
        <f>+IF(ISBLANK(I183),0,VLOOKUP(I183,'8Příloha_2_ceník_pravid_úklid'!$B$9:$C$30,2,0))</f>
        <v>7</v>
      </c>
      <c r="I183" s="143" t="s">
        <v>14</v>
      </c>
      <c r="J183" s="145">
        <v>1.63</v>
      </c>
      <c r="K183" s="275" t="s">
        <v>50</v>
      </c>
      <c r="L183" s="156" t="s">
        <v>65</v>
      </c>
      <c r="M183" s="22" t="s">
        <v>49</v>
      </c>
      <c r="N183" s="24">
        <f>IF((VLOOKUP(I183,'8Příloha_2_ceník_pravid_úklid'!$B$9:$I$30,8,0))=0,VLOOKUP(I183,'8Příloha_2_ceník_pravid_úklid'!$B$9:$K$30,10,0),VLOOKUP(I183,'8Příloha_2_ceník_pravid_úklid'!$B$9:$I$30,8,0))</f>
        <v>0</v>
      </c>
      <c r="O183" s="20">
        <v>2</v>
      </c>
      <c r="P183" s="20">
        <v>1</v>
      </c>
      <c r="Q183" s="20">
        <v>0</v>
      </c>
      <c r="R183" s="20">
        <v>0</v>
      </c>
      <c r="S183" s="21">
        <f>NETWORKDAYS.INTL(DATE(2018,1,1),DATE(2018,12,31),1,{"2018/1/1";"2018/3/30";"2018/4/2";"2018/5/1";"2018/5/8";"2018/7/5";"2018/7/6";"2018/09/28";"2018/11/17";"2018/12/24";"2018/12/25";"2018/12/26"})</f>
        <v>250</v>
      </c>
      <c r="T183" s="21">
        <f t="shared" si="11"/>
        <v>115</v>
      </c>
      <c r="U183" s="21">
        <f t="shared" si="12"/>
        <v>365</v>
      </c>
      <c r="V183" s="311">
        <f t="shared" si="13"/>
        <v>500</v>
      </c>
      <c r="W183" s="140">
        <f t="shared" si="14"/>
        <v>0</v>
      </c>
      <c r="X183" s="141">
        <f t="shared" si="15"/>
        <v>0</v>
      </c>
      <c r="Y183" s="141">
        <v>0</v>
      </c>
    </row>
    <row r="184" spans="1:26" ht="15" x14ac:dyDescent="0.2">
      <c r="A184" s="276" t="s">
        <v>899</v>
      </c>
      <c r="B184" s="23" t="s">
        <v>54</v>
      </c>
      <c r="C184" s="32" t="s">
        <v>195</v>
      </c>
      <c r="D184" s="139" t="str">
        <f>VLOOKUP(C184,'Seznam HS - nemaš'!$A$1:$B$96,2,FALSE)</f>
        <v>432400</v>
      </c>
      <c r="E184" s="22" t="s">
        <v>906</v>
      </c>
      <c r="F184" s="30" t="s">
        <v>437</v>
      </c>
      <c r="G184" s="30" t="s">
        <v>540</v>
      </c>
      <c r="H184" s="28">
        <f>+IF(ISBLANK(I184),0,VLOOKUP(I184,'8Příloha_2_ceník_pravid_úklid'!$B$9:$C$30,2,0))</f>
        <v>7</v>
      </c>
      <c r="I184" s="143" t="s">
        <v>14</v>
      </c>
      <c r="J184" s="145">
        <v>1.35</v>
      </c>
      <c r="K184" s="275" t="s">
        <v>50</v>
      </c>
      <c r="L184" s="156" t="s">
        <v>65</v>
      </c>
      <c r="M184" s="22" t="s">
        <v>49</v>
      </c>
      <c r="N184" s="24">
        <f>IF((VLOOKUP(I184,'8Příloha_2_ceník_pravid_úklid'!$B$9:$I$30,8,0))=0,VLOOKUP(I184,'8Příloha_2_ceník_pravid_úklid'!$B$9:$K$30,10,0),VLOOKUP(I184,'8Příloha_2_ceník_pravid_úklid'!$B$9:$I$30,8,0))</f>
        <v>0</v>
      </c>
      <c r="O184" s="20">
        <v>2</v>
      </c>
      <c r="P184" s="20">
        <v>1</v>
      </c>
      <c r="Q184" s="20">
        <v>0</v>
      </c>
      <c r="R184" s="20">
        <v>0</v>
      </c>
      <c r="S184" s="21">
        <f>NETWORKDAYS.INTL(DATE(2018,1,1),DATE(2018,12,31),1,{"2018/1/1";"2018/3/30";"2018/4/2";"2018/5/1";"2018/5/8";"2018/7/5";"2018/7/6";"2018/09/28";"2018/11/17";"2018/12/24";"2018/12/25";"2018/12/26"})</f>
        <v>250</v>
      </c>
      <c r="T184" s="21">
        <f t="shared" si="11"/>
        <v>115</v>
      </c>
      <c r="U184" s="21">
        <f t="shared" si="12"/>
        <v>365</v>
      </c>
      <c r="V184" s="311">
        <f t="shared" si="13"/>
        <v>500</v>
      </c>
      <c r="W184" s="140">
        <f t="shared" si="14"/>
        <v>0</v>
      </c>
      <c r="X184" s="141">
        <f t="shared" si="15"/>
        <v>0</v>
      </c>
      <c r="Y184" s="141">
        <v>0</v>
      </c>
    </row>
    <row r="185" spans="1:26" ht="15" x14ac:dyDescent="0.2">
      <c r="A185" s="276" t="s">
        <v>899</v>
      </c>
      <c r="B185" s="23" t="s">
        <v>54</v>
      </c>
      <c r="C185" s="32" t="s">
        <v>195</v>
      </c>
      <c r="D185" s="139" t="str">
        <f>VLOOKUP(C185,'Seznam HS - nemaš'!$A$1:$B$96,2,FALSE)</f>
        <v>432400</v>
      </c>
      <c r="E185" s="22" t="s">
        <v>907</v>
      </c>
      <c r="F185" s="30" t="s">
        <v>437</v>
      </c>
      <c r="G185" s="30"/>
      <c r="H185" s="28">
        <f>+IF(ISBLANK(I185),0,VLOOKUP(I185,'8Příloha_2_ceník_pravid_úklid'!$B$9:$C$30,2,0))</f>
        <v>7</v>
      </c>
      <c r="I185" s="143" t="s">
        <v>14</v>
      </c>
      <c r="J185" s="145">
        <v>1.51</v>
      </c>
      <c r="K185" s="275" t="s">
        <v>50</v>
      </c>
      <c r="L185" s="156" t="s">
        <v>21</v>
      </c>
      <c r="M185" s="22" t="s">
        <v>49</v>
      </c>
      <c r="N185" s="24">
        <f>IF((VLOOKUP(I185,'8Příloha_2_ceník_pravid_úklid'!$B$9:$I$30,8,0))=0,VLOOKUP(I185,'8Příloha_2_ceník_pravid_úklid'!$B$9:$K$30,10,0),VLOOKUP(I185,'8Příloha_2_ceník_pravid_úklid'!$B$9:$I$30,8,0))</f>
        <v>0</v>
      </c>
      <c r="O185" s="20">
        <v>1</v>
      </c>
      <c r="P185" s="20">
        <v>1</v>
      </c>
      <c r="Q185" s="20">
        <v>0</v>
      </c>
      <c r="R185" s="20">
        <v>0</v>
      </c>
      <c r="S185" s="21">
        <f>NETWORKDAYS.INTL(DATE(2018,1,1),DATE(2018,12,31),1,{"2018/1/1";"2018/3/30";"2018/4/2";"2018/5/1";"2018/5/8";"2018/7/5";"2018/7/6";"2018/09/28";"2018/11/17";"2018/12/24";"2018/12/25";"2018/12/26"})</f>
        <v>250</v>
      </c>
      <c r="T185" s="21">
        <f t="shared" si="11"/>
        <v>115</v>
      </c>
      <c r="U185" s="21">
        <f t="shared" si="12"/>
        <v>365</v>
      </c>
      <c r="V185" s="311">
        <f t="shared" si="13"/>
        <v>250</v>
      </c>
      <c r="W185" s="140">
        <f t="shared" si="14"/>
        <v>0</v>
      </c>
      <c r="X185" s="141">
        <f t="shared" si="15"/>
        <v>0</v>
      </c>
      <c r="Y185" s="141">
        <v>0</v>
      </c>
      <c r="Z185" s="378"/>
    </row>
    <row r="186" spans="1:26" ht="15" x14ac:dyDescent="0.2">
      <c r="A186" s="276" t="s">
        <v>899</v>
      </c>
      <c r="B186" s="23" t="s">
        <v>54</v>
      </c>
      <c r="C186" s="32" t="s">
        <v>195</v>
      </c>
      <c r="D186" s="139" t="str">
        <f>VLOOKUP(C186,'Seznam HS - nemaš'!$A$1:$B$96,2,FALSE)</f>
        <v>432400</v>
      </c>
      <c r="E186" s="22" t="s">
        <v>908</v>
      </c>
      <c r="F186" s="30" t="s">
        <v>437</v>
      </c>
      <c r="G186" s="30" t="s">
        <v>444</v>
      </c>
      <c r="H186" s="28">
        <f>+IF(ISBLANK(I186),0,VLOOKUP(I186,'8Příloha_2_ceník_pravid_úklid'!$B$9:$C$30,2,0))</f>
        <v>7</v>
      </c>
      <c r="I186" s="143" t="s">
        <v>14</v>
      </c>
      <c r="J186" s="145">
        <v>3.05</v>
      </c>
      <c r="K186" s="275" t="s">
        <v>50</v>
      </c>
      <c r="L186" s="156" t="s">
        <v>21</v>
      </c>
      <c r="M186" s="22" t="s">
        <v>49</v>
      </c>
      <c r="N186" s="24">
        <f>IF((VLOOKUP(I186,'8Příloha_2_ceník_pravid_úklid'!$B$9:$I$30,8,0))=0,VLOOKUP(I186,'8Příloha_2_ceník_pravid_úklid'!$B$9:$K$30,10,0),VLOOKUP(I186,'8Příloha_2_ceník_pravid_úklid'!$B$9:$I$30,8,0))</f>
        <v>0</v>
      </c>
      <c r="O186" s="20">
        <v>1</v>
      </c>
      <c r="P186" s="20">
        <v>1</v>
      </c>
      <c r="Q186" s="20">
        <v>0</v>
      </c>
      <c r="R186" s="20">
        <v>0</v>
      </c>
      <c r="S186" s="21">
        <f>NETWORKDAYS.INTL(DATE(2018,1,1),DATE(2018,12,31),1,{"2018/1/1";"2018/3/30";"2018/4/2";"2018/5/1";"2018/5/8";"2018/7/5";"2018/7/6";"2018/09/28";"2018/11/17";"2018/12/24";"2018/12/25";"2018/12/26"})</f>
        <v>250</v>
      </c>
      <c r="T186" s="21">
        <f t="shared" si="11"/>
        <v>115</v>
      </c>
      <c r="U186" s="21">
        <f t="shared" si="12"/>
        <v>365</v>
      </c>
      <c r="V186" s="311">
        <f t="shared" si="13"/>
        <v>250</v>
      </c>
      <c r="W186" s="140">
        <f t="shared" si="14"/>
        <v>0</v>
      </c>
      <c r="X186" s="141">
        <f t="shared" si="15"/>
        <v>0</v>
      </c>
      <c r="Y186" s="141">
        <v>0</v>
      </c>
    </row>
    <row r="187" spans="1:26" ht="15" x14ac:dyDescent="0.2">
      <c r="A187" s="276" t="s">
        <v>899</v>
      </c>
      <c r="B187" s="23" t="s">
        <v>54</v>
      </c>
      <c r="C187" s="32" t="s">
        <v>195</v>
      </c>
      <c r="D187" s="139" t="str">
        <f>VLOOKUP(C187,'Seznam HS - nemaš'!$A$1:$B$96,2,FALSE)</f>
        <v>432400</v>
      </c>
      <c r="E187" s="22" t="s">
        <v>909</v>
      </c>
      <c r="F187" s="30" t="s">
        <v>734</v>
      </c>
      <c r="G187" s="30"/>
      <c r="H187" s="28">
        <f>+IF(ISBLANK(I187),0,VLOOKUP(I187,'8Příloha_2_ceník_pravid_úklid'!$B$9:$C$30,2,0))</f>
        <v>7</v>
      </c>
      <c r="I187" s="143" t="s">
        <v>14</v>
      </c>
      <c r="J187" s="145">
        <v>1.95</v>
      </c>
      <c r="K187" s="275" t="s">
        <v>50</v>
      </c>
      <c r="L187" s="156" t="s">
        <v>21</v>
      </c>
      <c r="M187" s="22" t="s">
        <v>49</v>
      </c>
      <c r="N187" s="24">
        <f>IF((VLOOKUP(I187,'8Příloha_2_ceník_pravid_úklid'!$B$9:$I$30,8,0))=0,VLOOKUP(I187,'8Příloha_2_ceník_pravid_úklid'!$B$9:$K$30,10,0),VLOOKUP(I187,'8Příloha_2_ceník_pravid_úklid'!$B$9:$I$30,8,0))</f>
        <v>0</v>
      </c>
      <c r="O187" s="20">
        <v>1</v>
      </c>
      <c r="P187" s="20">
        <v>1</v>
      </c>
      <c r="Q187" s="20">
        <v>0</v>
      </c>
      <c r="R187" s="20">
        <v>0</v>
      </c>
      <c r="S187" s="21">
        <f>NETWORKDAYS.INTL(DATE(2018,1,1),DATE(2018,12,31),1,{"2018/1/1";"2018/3/30";"2018/4/2";"2018/5/1";"2018/5/8";"2018/7/5";"2018/7/6";"2018/09/28";"2018/11/17";"2018/12/24";"2018/12/25";"2018/12/26"})</f>
        <v>250</v>
      </c>
      <c r="T187" s="21">
        <f t="shared" si="11"/>
        <v>115</v>
      </c>
      <c r="U187" s="21">
        <f t="shared" si="12"/>
        <v>365</v>
      </c>
      <c r="V187" s="311">
        <f t="shared" si="13"/>
        <v>250</v>
      </c>
      <c r="W187" s="140">
        <f t="shared" si="14"/>
        <v>0</v>
      </c>
      <c r="X187" s="141">
        <f t="shared" si="15"/>
        <v>0</v>
      </c>
      <c r="Y187" s="141">
        <v>0</v>
      </c>
    </row>
    <row r="188" spans="1:26" ht="15" x14ac:dyDescent="0.2">
      <c r="A188" s="235" t="s">
        <v>899</v>
      </c>
      <c r="B188" s="236" t="s">
        <v>54</v>
      </c>
      <c r="C188" s="222" t="s">
        <v>195</v>
      </c>
      <c r="D188" s="535" t="str">
        <f>VLOOKUP(C188,'Seznam HS - nemaš'!$A$1:$B$96,2,FALSE)</f>
        <v>432400</v>
      </c>
      <c r="E188" s="237" t="s">
        <v>910</v>
      </c>
      <c r="F188" s="303" t="s">
        <v>893</v>
      </c>
      <c r="G188" s="303"/>
      <c r="H188" s="224">
        <f>+IF(ISBLANK(I188),0,VLOOKUP(I188,'8Příloha_2_ceník_pravid_úklid'!$B$9:$C$30,2,0))</f>
        <v>0</v>
      </c>
      <c r="I188" s="273"/>
      <c r="J188" s="241">
        <v>1.4</v>
      </c>
      <c r="K188" s="240" t="s">
        <v>51</v>
      </c>
      <c r="L188" s="242" t="s">
        <v>66</v>
      </c>
      <c r="M188" s="237" t="s">
        <v>49</v>
      </c>
      <c r="N188" s="229" t="s">
        <v>501</v>
      </c>
      <c r="O188" s="230">
        <v>0</v>
      </c>
      <c r="P188" s="230">
        <v>0</v>
      </c>
      <c r="Q188" s="230">
        <v>0</v>
      </c>
      <c r="R188" s="230">
        <v>0</v>
      </c>
      <c r="S188" s="231">
        <f>NETWORKDAYS.INTL(DATE(2018,1,1),DATE(2018,12,31),1,{"2018/1/1";"2018/3/30";"2018/4/2";"2018/5/1";"2018/5/8";"2018/7/5";"2018/7/6";"2018/09/28";"2018/11/17";"2018/12/24";"2018/12/25";"2018/12/26"})</f>
        <v>250</v>
      </c>
      <c r="T188" s="231">
        <f t="shared" si="11"/>
        <v>115</v>
      </c>
      <c r="U188" s="231">
        <f t="shared" si="12"/>
        <v>365</v>
      </c>
      <c r="V188" s="312">
        <f t="shared" si="13"/>
        <v>0</v>
      </c>
      <c r="W188" s="233">
        <f t="shared" si="14"/>
        <v>0</v>
      </c>
      <c r="X188" s="234">
        <f t="shared" si="15"/>
        <v>0</v>
      </c>
      <c r="Y188" s="234">
        <f t="shared" si="15"/>
        <v>0</v>
      </c>
    </row>
    <row r="189" spans="1:26" ht="15" x14ac:dyDescent="0.2">
      <c r="A189" s="276" t="s">
        <v>899</v>
      </c>
      <c r="B189" s="23" t="s">
        <v>54</v>
      </c>
      <c r="C189" s="32" t="s">
        <v>195</v>
      </c>
      <c r="D189" s="139" t="str">
        <f>VLOOKUP(C189,'Seznam HS - nemaš'!$A$1:$B$96,2,FALSE)</f>
        <v>432400</v>
      </c>
      <c r="E189" s="22" t="s">
        <v>911</v>
      </c>
      <c r="F189" s="30" t="s">
        <v>548</v>
      </c>
      <c r="G189" s="30" t="s">
        <v>659</v>
      </c>
      <c r="H189" s="28">
        <f>+IF(ISBLANK(I189),0,VLOOKUP(I189,'8Příloha_2_ceník_pravid_úklid'!$B$9:$C$30,2,0))</f>
        <v>4</v>
      </c>
      <c r="I189" s="143" t="s">
        <v>9</v>
      </c>
      <c r="J189" s="145">
        <v>15.41</v>
      </c>
      <c r="K189" s="275" t="s">
        <v>51</v>
      </c>
      <c r="L189" s="156" t="s">
        <v>65</v>
      </c>
      <c r="M189" s="22" t="s">
        <v>49</v>
      </c>
      <c r="N189" s="24">
        <f>IF((VLOOKUP(I189,'8Příloha_2_ceník_pravid_úklid'!$B$9:$I$30,8,0))=0,VLOOKUP(I189,'8Příloha_2_ceník_pravid_úklid'!$B$9:$K$30,10,0),VLOOKUP(I189,'8Příloha_2_ceník_pravid_úklid'!$B$9:$I$30,8,0))</f>
        <v>0</v>
      </c>
      <c r="O189" s="20">
        <v>2</v>
      </c>
      <c r="P189" s="20">
        <v>1</v>
      </c>
      <c r="Q189" s="20">
        <v>0</v>
      </c>
      <c r="R189" s="20">
        <v>0</v>
      </c>
      <c r="S189" s="21">
        <f>NETWORKDAYS.INTL(DATE(2018,1,1),DATE(2018,12,31),1,{"2018/1/1";"2018/3/30";"2018/4/2";"2018/5/1";"2018/5/8";"2018/7/5";"2018/7/6";"2018/09/28";"2018/11/17";"2018/12/24";"2018/12/25";"2018/12/26"})</f>
        <v>250</v>
      </c>
      <c r="T189" s="21">
        <f t="shared" si="11"/>
        <v>115</v>
      </c>
      <c r="U189" s="21">
        <f t="shared" si="12"/>
        <v>365</v>
      </c>
      <c r="V189" s="311">
        <f t="shared" si="13"/>
        <v>500</v>
      </c>
      <c r="W189" s="140">
        <f t="shared" si="14"/>
        <v>0</v>
      </c>
      <c r="X189" s="141">
        <f t="shared" si="15"/>
        <v>0</v>
      </c>
      <c r="Y189" s="141">
        <v>0</v>
      </c>
    </row>
    <row r="190" spans="1:26" ht="15" x14ac:dyDescent="0.2">
      <c r="A190" s="276" t="s">
        <v>899</v>
      </c>
      <c r="B190" s="23" t="s">
        <v>54</v>
      </c>
      <c r="C190" s="32" t="s">
        <v>195</v>
      </c>
      <c r="D190" s="139" t="str">
        <f>VLOOKUP(C190,'Seznam HS - nemaš'!$A$1:$B$96,2,FALSE)</f>
        <v>432400</v>
      </c>
      <c r="E190" s="22" t="s">
        <v>912</v>
      </c>
      <c r="F190" s="30" t="s">
        <v>612</v>
      </c>
      <c r="G190" s="30"/>
      <c r="H190" s="28">
        <f>+IF(ISBLANK(I190),0,VLOOKUP(I190,'8Příloha_2_ceník_pravid_úklid'!$B$9:$C$30,2,0))</f>
        <v>2</v>
      </c>
      <c r="I190" s="143" t="s">
        <v>2</v>
      </c>
      <c r="J190" s="145">
        <v>15.96</v>
      </c>
      <c r="K190" s="275" t="s">
        <v>50</v>
      </c>
      <c r="L190" s="156" t="s">
        <v>65</v>
      </c>
      <c r="M190" s="22" t="s">
        <v>49</v>
      </c>
      <c r="N190" s="24">
        <f>IF((VLOOKUP(I190,'8Příloha_2_ceník_pravid_úklid'!$B$9:$I$30,8,0))=0,VLOOKUP(I190,'8Příloha_2_ceník_pravid_úklid'!$B$9:$K$30,10,0),VLOOKUP(I190,'8Příloha_2_ceník_pravid_úklid'!$B$9:$I$30,8,0))</f>
        <v>0</v>
      </c>
      <c r="O190" s="20">
        <v>2</v>
      </c>
      <c r="P190" s="20">
        <v>1</v>
      </c>
      <c r="Q190" s="20">
        <v>0</v>
      </c>
      <c r="R190" s="20">
        <v>0</v>
      </c>
      <c r="S190" s="21">
        <f>NETWORKDAYS.INTL(DATE(2018,1,1),DATE(2018,12,31),1,{"2018/1/1";"2018/3/30";"2018/4/2";"2018/5/1";"2018/5/8";"2018/7/5";"2018/7/6";"2018/09/28";"2018/11/17";"2018/12/24";"2018/12/25";"2018/12/26"})</f>
        <v>250</v>
      </c>
      <c r="T190" s="21">
        <f t="shared" si="11"/>
        <v>115</v>
      </c>
      <c r="U190" s="21">
        <f t="shared" si="12"/>
        <v>365</v>
      </c>
      <c r="V190" s="311">
        <f t="shared" si="13"/>
        <v>500</v>
      </c>
      <c r="W190" s="140">
        <f t="shared" si="14"/>
        <v>0</v>
      </c>
      <c r="X190" s="141">
        <f t="shared" si="15"/>
        <v>0</v>
      </c>
      <c r="Y190" s="141">
        <v>0</v>
      </c>
    </row>
    <row r="191" spans="1:26" ht="15" x14ac:dyDescent="0.2">
      <c r="A191" s="276" t="s">
        <v>899</v>
      </c>
      <c r="B191" s="23" t="s">
        <v>54</v>
      </c>
      <c r="C191" s="32" t="s">
        <v>195</v>
      </c>
      <c r="D191" s="139" t="str">
        <f>VLOOKUP(C191,'Seznam HS - nemaš'!$A$1:$B$96,2,FALSE)</f>
        <v>432400</v>
      </c>
      <c r="E191" s="22" t="s">
        <v>913</v>
      </c>
      <c r="F191" s="30" t="s">
        <v>375</v>
      </c>
      <c r="G191" s="30" t="s">
        <v>612</v>
      </c>
      <c r="H191" s="28">
        <f>+IF(ISBLANK(I191),0,VLOOKUP(I191,'8Příloha_2_ceník_pravid_úklid'!$B$9:$C$30,2,0))</f>
        <v>9</v>
      </c>
      <c r="I191" s="143" t="s">
        <v>10</v>
      </c>
      <c r="J191" s="145">
        <v>18.14</v>
      </c>
      <c r="K191" s="275" t="s">
        <v>51</v>
      </c>
      <c r="L191" s="156" t="s">
        <v>65</v>
      </c>
      <c r="M191" s="22" t="s">
        <v>49</v>
      </c>
      <c r="N191" s="24">
        <f>IF((VLOOKUP(I191,'8Příloha_2_ceník_pravid_úklid'!$B$9:$I$30,8,0))=0,VLOOKUP(I191,'8Příloha_2_ceník_pravid_úklid'!$B$9:$K$30,10,0),VLOOKUP(I191,'8Příloha_2_ceník_pravid_úklid'!$B$9:$I$30,8,0))</f>
        <v>0</v>
      </c>
      <c r="O191" s="20">
        <v>2</v>
      </c>
      <c r="P191" s="20">
        <v>1</v>
      </c>
      <c r="Q191" s="20">
        <v>0</v>
      </c>
      <c r="R191" s="20">
        <v>0</v>
      </c>
      <c r="S191" s="21">
        <f>NETWORKDAYS.INTL(DATE(2018,1,1),DATE(2018,12,31),1,{"2018/1/1";"2018/3/30";"2018/4/2";"2018/5/1";"2018/5/8";"2018/7/5";"2018/7/6";"2018/09/28";"2018/11/17";"2018/12/24";"2018/12/25";"2018/12/26"})</f>
        <v>250</v>
      </c>
      <c r="T191" s="21">
        <f t="shared" si="11"/>
        <v>115</v>
      </c>
      <c r="U191" s="21">
        <f t="shared" si="12"/>
        <v>365</v>
      </c>
      <c r="V191" s="311">
        <f t="shared" si="13"/>
        <v>500</v>
      </c>
      <c r="W191" s="140">
        <f t="shared" si="14"/>
        <v>0</v>
      </c>
      <c r="X191" s="141">
        <f t="shared" si="15"/>
        <v>0</v>
      </c>
      <c r="Y191" s="141">
        <v>0</v>
      </c>
    </row>
    <row r="192" spans="1:26" ht="15" x14ac:dyDescent="0.2">
      <c r="A192" s="276" t="s">
        <v>899</v>
      </c>
      <c r="B192" s="23" t="s">
        <v>54</v>
      </c>
      <c r="C192" s="32" t="s">
        <v>195</v>
      </c>
      <c r="D192" s="139" t="str">
        <f>VLOOKUP(C192,'Seznam HS - nemaš'!$A$1:$B$96,2,FALSE)</f>
        <v>432400</v>
      </c>
      <c r="E192" s="22" t="s">
        <v>914</v>
      </c>
      <c r="F192" s="30" t="s">
        <v>612</v>
      </c>
      <c r="G192" s="30"/>
      <c r="H192" s="28">
        <f>+IF(ISBLANK(I192),0,VLOOKUP(I192,'8Příloha_2_ceník_pravid_úklid'!$B$9:$C$30,2,0))</f>
        <v>2</v>
      </c>
      <c r="I192" s="143" t="s">
        <v>2</v>
      </c>
      <c r="J192" s="145">
        <v>23.83</v>
      </c>
      <c r="K192" s="275" t="s">
        <v>51</v>
      </c>
      <c r="L192" s="156" t="s">
        <v>65</v>
      </c>
      <c r="M192" s="22" t="s">
        <v>49</v>
      </c>
      <c r="N192" s="24">
        <f>IF((VLOOKUP(I192,'8Příloha_2_ceník_pravid_úklid'!$B$9:$I$30,8,0))=0,VLOOKUP(I192,'8Příloha_2_ceník_pravid_úklid'!$B$9:$K$30,10,0),VLOOKUP(I192,'8Příloha_2_ceník_pravid_úklid'!$B$9:$I$30,8,0))</f>
        <v>0</v>
      </c>
      <c r="O192" s="20">
        <v>2</v>
      </c>
      <c r="P192" s="20">
        <v>1</v>
      </c>
      <c r="Q192" s="20">
        <v>0</v>
      </c>
      <c r="R192" s="20">
        <v>0</v>
      </c>
      <c r="S192" s="21">
        <f>NETWORKDAYS.INTL(DATE(2018,1,1),DATE(2018,12,31),1,{"2018/1/1";"2018/3/30";"2018/4/2";"2018/5/1";"2018/5/8";"2018/7/5";"2018/7/6";"2018/09/28";"2018/11/17";"2018/12/24";"2018/12/25";"2018/12/26"})</f>
        <v>250</v>
      </c>
      <c r="T192" s="21">
        <f t="shared" si="11"/>
        <v>115</v>
      </c>
      <c r="U192" s="21">
        <f t="shared" si="12"/>
        <v>365</v>
      </c>
      <c r="V192" s="311">
        <f t="shared" si="13"/>
        <v>500</v>
      </c>
      <c r="W192" s="140">
        <f t="shared" si="14"/>
        <v>0</v>
      </c>
      <c r="X192" s="141">
        <f t="shared" si="15"/>
        <v>0</v>
      </c>
      <c r="Y192" s="141">
        <v>0</v>
      </c>
    </row>
    <row r="193" spans="1:25" ht="15" x14ac:dyDescent="0.2">
      <c r="A193" s="276" t="s">
        <v>899</v>
      </c>
      <c r="B193" s="23" t="s">
        <v>54</v>
      </c>
      <c r="C193" s="32" t="s">
        <v>195</v>
      </c>
      <c r="D193" s="139" t="str">
        <f>VLOOKUP(C193,'Seznam HS - nemaš'!$A$1:$B$96,2,FALSE)</f>
        <v>432400</v>
      </c>
      <c r="E193" s="22" t="s">
        <v>915</v>
      </c>
      <c r="F193" s="30" t="s">
        <v>916</v>
      </c>
      <c r="G193" s="30"/>
      <c r="H193" s="28">
        <f>+IF(ISBLANK(I193),0,VLOOKUP(I193,'8Příloha_2_ceník_pravid_úklid'!$B$9:$C$30,2,0))</f>
        <v>2</v>
      </c>
      <c r="I193" s="143" t="s">
        <v>2</v>
      </c>
      <c r="J193" s="145">
        <v>1.76</v>
      </c>
      <c r="K193" s="275" t="s">
        <v>51</v>
      </c>
      <c r="L193" s="156" t="s">
        <v>65</v>
      </c>
      <c r="M193" s="22" t="s">
        <v>49</v>
      </c>
      <c r="N193" s="24">
        <f>IF((VLOOKUP(I193,'8Příloha_2_ceník_pravid_úklid'!$B$9:$I$30,8,0))=0,VLOOKUP(I193,'8Příloha_2_ceník_pravid_úklid'!$B$9:$K$30,10,0),VLOOKUP(I193,'8Příloha_2_ceník_pravid_úklid'!$B$9:$I$30,8,0))</f>
        <v>0</v>
      </c>
      <c r="O193" s="20">
        <v>2</v>
      </c>
      <c r="P193" s="20">
        <v>1</v>
      </c>
      <c r="Q193" s="20">
        <v>0</v>
      </c>
      <c r="R193" s="20">
        <v>0</v>
      </c>
      <c r="S193" s="21">
        <f>NETWORKDAYS.INTL(DATE(2018,1,1),DATE(2018,12,31),1,{"2018/1/1";"2018/3/30";"2018/4/2";"2018/5/1";"2018/5/8";"2018/7/5";"2018/7/6";"2018/09/28";"2018/11/17";"2018/12/24";"2018/12/25";"2018/12/26"})</f>
        <v>250</v>
      </c>
      <c r="T193" s="21">
        <f t="shared" si="11"/>
        <v>115</v>
      </c>
      <c r="U193" s="21">
        <f t="shared" si="12"/>
        <v>365</v>
      </c>
      <c r="V193" s="311">
        <f t="shared" si="13"/>
        <v>500</v>
      </c>
      <c r="W193" s="140">
        <f t="shared" si="14"/>
        <v>0</v>
      </c>
      <c r="X193" s="141">
        <f t="shared" si="15"/>
        <v>0</v>
      </c>
      <c r="Y193" s="141">
        <v>0</v>
      </c>
    </row>
    <row r="194" spans="1:25" ht="15" x14ac:dyDescent="0.2">
      <c r="A194" s="276" t="s">
        <v>899</v>
      </c>
      <c r="B194" s="23" t="s">
        <v>54</v>
      </c>
      <c r="C194" s="32" t="s">
        <v>195</v>
      </c>
      <c r="D194" s="139" t="str">
        <f>VLOOKUP(C194,'Seznam HS - nemaš'!$A$1:$B$96,2,FALSE)</f>
        <v>432400</v>
      </c>
      <c r="E194" s="22" t="s">
        <v>917</v>
      </c>
      <c r="F194" s="30" t="s">
        <v>916</v>
      </c>
      <c r="G194" s="30"/>
      <c r="H194" s="28">
        <f>+IF(ISBLANK(I194),0,VLOOKUP(I194,'8Příloha_2_ceník_pravid_úklid'!$B$9:$C$30,2,0))</f>
        <v>2</v>
      </c>
      <c r="I194" s="143" t="s">
        <v>2</v>
      </c>
      <c r="J194" s="145">
        <v>1.76</v>
      </c>
      <c r="K194" s="275" t="s">
        <v>51</v>
      </c>
      <c r="L194" s="156" t="s">
        <v>65</v>
      </c>
      <c r="M194" s="22" t="s">
        <v>49</v>
      </c>
      <c r="N194" s="24">
        <f>IF((VLOOKUP(I194,'8Příloha_2_ceník_pravid_úklid'!$B$9:$I$30,8,0))=0,VLOOKUP(I194,'8Příloha_2_ceník_pravid_úklid'!$B$9:$K$30,10,0),VLOOKUP(I194,'8Příloha_2_ceník_pravid_úklid'!$B$9:$I$30,8,0))</f>
        <v>0</v>
      </c>
      <c r="O194" s="20">
        <v>2</v>
      </c>
      <c r="P194" s="20">
        <v>1</v>
      </c>
      <c r="Q194" s="20">
        <v>0</v>
      </c>
      <c r="R194" s="20">
        <v>0</v>
      </c>
      <c r="S194" s="21">
        <f>NETWORKDAYS.INTL(DATE(2018,1,1),DATE(2018,12,31),1,{"2018/1/1";"2018/3/30";"2018/4/2";"2018/5/1";"2018/5/8";"2018/7/5";"2018/7/6";"2018/09/28";"2018/11/17";"2018/12/24";"2018/12/25";"2018/12/26"})</f>
        <v>250</v>
      </c>
      <c r="T194" s="21">
        <f t="shared" si="11"/>
        <v>115</v>
      </c>
      <c r="U194" s="21">
        <f t="shared" si="12"/>
        <v>365</v>
      </c>
      <c r="V194" s="311">
        <f t="shared" si="13"/>
        <v>500</v>
      </c>
      <c r="W194" s="140">
        <f t="shared" si="14"/>
        <v>0</v>
      </c>
      <c r="X194" s="141">
        <f t="shared" si="15"/>
        <v>0</v>
      </c>
      <c r="Y194" s="141">
        <v>0</v>
      </c>
    </row>
    <row r="195" spans="1:25" ht="15" x14ac:dyDescent="0.2">
      <c r="A195" s="276" t="s">
        <v>918</v>
      </c>
      <c r="B195" s="23" t="s">
        <v>54</v>
      </c>
      <c r="C195" s="23" t="s">
        <v>197</v>
      </c>
      <c r="D195" s="139" t="str">
        <f>VLOOKUP(C195,'Seznam HS - nemaš'!$A$1:$B$96,2,FALSE)</f>
        <v>433400</v>
      </c>
      <c r="E195" s="22" t="s">
        <v>919</v>
      </c>
      <c r="F195" s="30" t="s">
        <v>612</v>
      </c>
      <c r="G195" s="30" t="s">
        <v>599</v>
      </c>
      <c r="H195" s="28">
        <f>+IF(ISBLANK(I195),0,VLOOKUP(I195,'8Příloha_2_ceník_pravid_úklid'!$B$9:$C$30,2,0))</f>
        <v>2</v>
      </c>
      <c r="I195" s="143" t="s">
        <v>2</v>
      </c>
      <c r="J195" s="145">
        <v>17.77</v>
      </c>
      <c r="K195" s="275" t="s">
        <v>51</v>
      </c>
      <c r="L195" s="156" t="s">
        <v>920</v>
      </c>
      <c r="M195" s="22" t="s">
        <v>49</v>
      </c>
      <c r="N195" s="24">
        <f>IF((VLOOKUP(I195,'8Příloha_2_ceník_pravid_úklid'!$B$9:$I$30,8,0))=0,VLOOKUP(I195,'8Příloha_2_ceník_pravid_úklid'!$B$9:$K$30,10,0),VLOOKUP(I195,'8Příloha_2_ceník_pravid_úklid'!$B$9:$I$30,8,0))</f>
        <v>0</v>
      </c>
      <c r="O195" s="20">
        <v>1</v>
      </c>
      <c r="P195" s="570">
        <f t="shared" ref="P195:P200" si="16">1+3/5</f>
        <v>1.6</v>
      </c>
      <c r="Q195" s="20">
        <v>0</v>
      </c>
      <c r="R195" s="20">
        <v>0</v>
      </c>
      <c r="S195" s="21">
        <f>NETWORKDAYS.INTL(DATE(2018,1,1),DATE(2018,12,31),1,{"2018/1/1";"2018/3/30";"2018/4/2";"2018/5/1";"2018/5/8";"2018/7/5";"2018/7/6";"2018/09/28";"2018/11/17";"2018/12/24";"2018/12/25";"2018/12/26"})</f>
        <v>250</v>
      </c>
      <c r="T195" s="21">
        <f t="shared" si="11"/>
        <v>115</v>
      </c>
      <c r="U195" s="21">
        <f t="shared" si="12"/>
        <v>365</v>
      </c>
      <c r="V195" s="311">
        <f t="shared" si="13"/>
        <v>400</v>
      </c>
      <c r="W195" s="140">
        <f t="shared" si="14"/>
        <v>0</v>
      </c>
      <c r="X195" s="141">
        <f t="shared" si="15"/>
        <v>0</v>
      </c>
      <c r="Y195" s="141">
        <v>0</v>
      </c>
    </row>
    <row r="196" spans="1:25" ht="15" x14ac:dyDescent="0.2">
      <c r="A196" s="276" t="s">
        <v>918</v>
      </c>
      <c r="B196" s="23" t="s">
        <v>54</v>
      </c>
      <c r="C196" s="23" t="s">
        <v>197</v>
      </c>
      <c r="D196" s="139" t="str">
        <f>VLOOKUP(C196,'Seznam HS - nemaš'!$A$1:$B$96,2,FALSE)</f>
        <v>433400</v>
      </c>
      <c r="E196" s="22" t="s">
        <v>921</v>
      </c>
      <c r="F196" s="30" t="s">
        <v>565</v>
      </c>
      <c r="G196" s="30" t="s">
        <v>558</v>
      </c>
      <c r="H196" s="28">
        <f>+IF(ISBLANK(I196),0,VLOOKUP(I196,'8Příloha_2_ceník_pravid_úklid'!$B$9:$C$30,2,0))</f>
        <v>2</v>
      </c>
      <c r="I196" s="143" t="s">
        <v>2</v>
      </c>
      <c r="J196" s="145">
        <v>12.48</v>
      </c>
      <c r="K196" s="275" t="s">
        <v>51</v>
      </c>
      <c r="L196" s="156" t="s">
        <v>920</v>
      </c>
      <c r="M196" s="22" t="s">
        <v>49</v>
      </c>
      <c r="N196" s="24">
        <f>IF((VLOOKUP(I196,'8Příloha_2_ceník_pravid_úklid'!$B$9:$I$30,8,0))=0,VLOOKUP(I196,'8Příloha_2_ceník_pravid_úklid'!$B$9:$K$30,10,0),VLOOKUP(I196,'8Příloha_2_ceník_pravid_úklid'!$B$9:$I$30,8,0))</f>
        <v>0</v>
      </c>
      <c r="O196" s="20">
        <v>1</v>
      </c>
      <c r="P196" s="20">
        <f t="shared" si="16"/>
        <v>1.6</v>
      </c>
      <c r="Q196" s="20">
        <v>0</v>
      </c>
      <c r="R196" s="20">
        <v>0</v>
      </c>
      <c r="S196" s="21">
        <f>NETWORKDAYS.INTL(DATE(2018,1,1),DATE(2018,12,31),1,{"2018/1/1";"2018/3/30";"2018/4/2";"2018/5/1";"2018/5/8";"2018/7/5";"2018/7/6";"2018/09/28";"2018/11/17";"2018/12/24";"2018/12/25";"2018/12/26"})</f>
        <v>250</v>
      </c>
      <c r="T196" s="21">
        <f t="shared" si="11"/>
        <v>115</v>
      </c>
      <c r="U196" s="21">
        <f t="shared" si="12"/>
        <v>365</v>
      </c>
      <c r="V196" s="311">
        <f t="shared" si="13"/>
        <v>400</v>
      </c>
      <c r="W196" s="140">
        <f t="shared" si="14"/>
        <v>0</v>
      </c>
      <c r="X196" s="141">
        <f t="shared" si="15"/>
        <v>0</v>
      </c>
      <c r="Y196" s="141">
        <v>0</v>
      </c>
    </row>
    <row r="197" spans="1:25" ht="15" x14ac:dyDescent="0.2">
      <c r="A197" s="276" t="s">
        <v>918</v>
      </c>
      <c r="B197" s="23" t="s">
        <v>54</v>
      </c>
      <c r="C197" s="23" t="s">
        <v>211</v>
      </c>
      <c r="D197" s="139" t="str">
        <f>VLOOKUP(C197,'Seznam HS - nemaš'!$A$1:$B$96,2,FALSE)</f>
        <v>438400</v>
      </c>
      <c r="E197" s="22" t="s">
        <v>922</v>
      </c>
      <c r="F197" s="30" t="s">
        <v>916</v>
      </c>
      <c r="G197" s="30"/>
      <c r="H197" s="28">
        <f>+IF(ISBLANK(I197),0,VLOOKUP(I197,'8Příloha_2_ceník_pravid_úklid'!$B$9:$C$30,2,0))</f>
        <v>2</v>
      </c>
      <c r="I197" s="143" t="s">
        <v>2</v>
      </c>
      <c r="J197" s="145">
        <v>1.5</v>
      </c>
      <c r="K197" s="275" t="s">
        <v>51</v>
      </c>
      <c r="L197" s="156" t="s">
        <v>920</v>
      </c>
      <c r="M197" s="22" t="s">
        <v>49</v>
      </c>
      <c r="N197" s="24">
        <f>IF((VLOOKUP(I197,'8Příloha_2_ceník_pravid_úklid'!$B$9:$I$30,8,0))=0,VLOOKUP(I197,'8Příloha_2_ceník_pravid_úklid'!$B$9:$K$30,10,0),VLOOKUP(I197,'8Příloha_2_ceník_pravid_úklid'!$B$9:$I$30,8,0))</f>
        <v>0</v>
      </c>
      <c r="O197" s="20">
        <v>1</v>
      </c>
      <c r="P197" s="20">
        <f t="shared" si="16"/>
        <v>1.6</v>
      </c>
      <c r="Q197" s="20">
        <v>0</v>
      </c>
      <c r="R197" s="20">
        <v>0</v>
      </c>
      <c r="S197" s="21">
        <f>NETWORKDAYS.INTL(DATE(2018,1,1),DATE(2018,12,31),1,{"2018/1/1";"2018/3/30";"2018/4/2";"2018/5/1";"2018/5/8";"2018/7/5";"2018/7/6";"2018/09/28";"2018/11/17";"2018/12/24";"2018/12/25";"2018/12/26"})</f>
        <v>250</v>
      </c>
      <c r="T197" s="21">
        <f t="shared" si="11"/>
        <v>115</v>
      </c>
      <c r="U197" s="21">
        <f t="shared" si="12"/>
        <v>365</v>
      </c>
      <c r="V197" s="311">
        <f t="shared" si="13"/>
        <v>400</v>
      </c>
      <c r="W197" s="140">
        <f t="shared" si="14"/>
        <v>0</v>
      </c>
      <c r="X197" s="141">
        <f t="shared" si="15"/>
        <v>0</v>
      </c>
      <c r="Y197" s="141">
        <v>0</v>
      </c>
    </row>
    <row r="198" spans="1:25" ht="15" x14ac:dyDescent="0.2">
      <c r="A198" s="276" t="s">
        <v>918</v>
      </c>
      <c r="B198" s="23" t="s">
        <v>54</v>
      </c>
      <c r="C198" s="23" t="s">
        <v>211</v>
      </c>
      <c r="D198" s="139" t="str">
        <f>VLOOKUP(C198,'Seznam HS - nemaš'!$A$1:$B$96,2,FALSE)</f>
        <v>438400</v>
      </c>
      <c r="E198" s="22" t="s">
        <v>923</v>
      </c>
      <c r="F198" s="30" t="s">
        <v>916</v>
      </c>
      <c r="G198" s="30"/>
      <c r="H198" s="28">
        <f>+IF(ISBLANK(I198),0,VLOOKUP(I198,'8Příloha_2_ceník_pravid_úklid'!$B$9:$C$30,2,0))</f>
        <v>2</v>
      </c>
      <c r="I198" s="143" t="s">
        <v>2</v>
      </c>
      <c r="J198" s="145">
        <v>1.5</v>
      </c>
      <c r="K198" s="275" t="s">
        <v>51</v>
      </c>
      <c r="L198" s="156" t="s">
        <v>920</v>
      </c>
      <c r="M198" s="22" t="s">
        <v>49</v>
      </c>
      <c r="N198" s="24">
        <f>IF((VLOOKUP(I198,'8Příloha_2_ceník_pravid_úklid'!$B$9:$I$30,8,0))=0,VLOOKUP(I198,'8Příloha_2_ceník_pravid_úklid'!$B$9:$K$30,10,0),VLOOKUP(I198,'8Příloha_2_ceník_pravid_úklid'!$B$9:$I$30,8,0))</f>
        <v>0</v>
      </c>
      <c r="O198" s="20">
        <v>1</v>
      </c>
      <c r="P198" s="20">
        <f t="shared" si="16"/>
        <v>1.6</v>
      </c>
      <c r="Q198" s="20">
        <v>0</v>
      </c>
      <c r="R198" s="20">
        <v>0</v>
      </c>
      <c r="S198" s="21">
        <f>NETWORKDAYS.INTL(DATE(2018,1,1),DATE(2018,12,31),1,{"2018/1/1";"2018/3/30";"2018/4/2";"2018/5/1";"2018/5/8";"2018/7/5";"2018/7/6";"2018/09/28";"2018/11/17";"2018/12/24";"2018/12/25";"2018/12/26"})</f>
        <v>250</v>
      </c>
      <c r="T198" s="21">
        <f t="shared" ref="T198:T261" si="17">U198-S198</f>
        <v>115</v>
      </c>
      <c r="U198" s="21">
        <f t="shared" ref="U198:U261" si="18">_xlfn.DAYS("1.1.2019","1.1.2018")</f>
        <v>365</v>
      </c>
      <c r="V198" s="311">
        <f t="shared" ref="V198:V261" si="19">ROUND(O198*P198*S198+Q198*R198*T198,2)</f>
        <v>400</v>
      </c>
      <c r="W198" s="140">
        <f t="shared" ref="W198:W261" si="20">ROUND(IF(N198="neoceňuje se",+J198*0*V198,J198*N198*V198),2)</f>
        <v>0</v>
      </c>
      <c r="X198" s="141">
        <f t="shared" ref="X198:Y261" si="21">ROUND(W198*1.21,2)</f>
        <v>0</v>
      </c>
      <c r="Y198" s="141">
        <v>0</v>
      </c>
    </row>
    <row r="199" spans="1:25" ht="15" x14ac:dyDescent="0.2">
      <c r="A199" s="276" t="s">
        <v>918</v>
      </c>
      <c r="B199" s="23" t="s">
        <v>54</v>
      </c>
      <c r="C199" s="23" t="s">
        <v>211</v>
      </c>
      <c r="D199" s="139" t="str">
        <f>VLOOKUP(C199,'Seznam HS - nemaš'!$A$1:$B$96,2,FALSE)</f>
        <v>438400</v>
      </c>
      <c r="E199" s="22" t="s">
        <v>924</v>
      </c>
      <c r="F199" s="30" t="s">
        <v>916</v>
      </c>
      <c r="G199" s="30"/>
      <c r="H199" s="28">
        <f>+IF(ISBLANK(I199),0,VLOOKUP(I199,'8Příloha_2_ceník_pravid_úklid'!$B$9:$C$30,2,0))</f>
        <v>2</v>
      </c>
      <c r="I199" s="143" t="s">
        <v>2</v>
      </c>
      <c r="J199" s="145">
        <v>1.5</v>
      </c>
      <c r="K199" s="275" t="s">
        <v>51</v>
      </c>
      <c r="L199" s="156" t="s">
        <v>920</v>
      </c>
      <c r="M199" s="22" t="s">
        <v>49</v>
      </c>
      <c r="N199" s="24">
        <f>IF((VLOOKUP(I199,'8Příloha_2_ceník_pravid_úklid'!$B$9:$I$30,8,0))=0,VLOOKUP(I199,'8Příloha_2_ceník_pravid_úklid'!$B$9:$K$30,10,0),VLOOKUP(I199,'8Příloha_2_ceník_pravid_úklid'!$B$9:$I$30,8,0))</f>
        <v>0</v>
      </c>
      <c r="O199" s="20">
        <v>1</v>
      </c>
      <c r="P199" s="20">
        <f t="shared" si="16"/>
        <v>1.6</v>
      </c>
      <c r="Q199" s="20">
        <v>0</v>
      </c>
      <c r="R199" s="20">
        <v>0</v>
      </c>
      <c r="S199" s="21">
        <f>NETWORKDAYS.INTL(DATE(2018,1,1),DATE(2018,12,31),1,{"2018/1/1";"2018/3/30";"2018/4/2";"2018/5/1";"2018/5/8";"2018/7/5";"2018/7/6";"2018/09/28";"2018/11/17";"2018/12/24";"2018/12/25";"2018/12/26"})</f>
        <v>250</v>
      </c>
      <c r="T199" s="21">
        <f t="shared" si="17"/>
        <v>115</v>
      </c>
      <c r="U199" s="21">
        <f t="shared" si="18"/>
        <v>365</v>
      </c>
      <c r="V199" s="311">
        <f t="shared" si="19"/>
        <v>400</v>
      </c>
      <c r="W199" s="140">
        <f t="shared" si="20"/>
        <v>0</v>
      </c>
      <c r="X199" s="141">
        <f t="shared" si="21"/>
        <v>0</v>
      </c>
      <c r="Y199" s="141">
        <v>0</v>
      </c>
    </row>
    <row r="200" spans="1:25" ht="15" x14ac:dyDescent="0.2">
      <c r="A200" s="276" t="s">
        <v>918</v>
      </c>
      <c r="B200" s="23" t="s">
        <v>54</v>
      </c>
      <c r="C200" s="23" t="s">
        <v>211</v>
      </c>
      <c r="D200" s="139" t="str">
        <f>VLOOKUP(C200,'Seznam HS - nemaš'!$A$1:$B$96,2,FALSE)</f>
        <v>438400</v>
      </c>
      <c r="E200" s="22" t="s">
        <v>925</v>
      </c>
      <c r="F200" s="30" t="s">
        <v>916</v>
      </c>
      <c r="G200" s="30"/>
      <c r="H200" s="28">
        <f>+IF(ISBLANK(I200),0,VLOOKUP(I200,'8Příloha_2_ceník_pravid_úklid'!$B$9:$C$30,2,0))</f>
        <v>2</v>
      </c>
      <c r="I200" s="143" t="s">
        <v>2</v>
      </c>
      <c r="J200" s="145">
        <v>1.5</v>
      </c>
      <c r="K200" s="275" t="s">
        <v>51</v>
      </c>
      <c r="L200" s="156" t="s">
        <v>920</v>
      </c>
      <c r="M200" s="22" t="s">
        <v>49</v>
      </c>
      <c r="N200" s="24">
        <f>IF((VLOOKUP(I200,'8Příloha_2_ceník_pravid_úklid'!$B$9:$I$30,8,0))=0,VLOOKUP(I200,'8Příloha_2_ceník_pravid_úklid'!$B$9:$K$30,10,0),VLOOKUP(I200,'8Příloha_2_ceník_pravid_úklid'!$B$9:$I$30,8,0))</f>
        <v>0</v>
      </c>
      <c r="O200" s="20">
        <v>1</v>
      </c>
      <c r="P200" s="20">
        <f t="shared" si="16"/>
        <v>1.6</v>
      </c>
      <c r="Q200" s="20">
        <v>0</v>
      </c>
      <c r="R200" s="20">
        <v>0</v>
      </c>
      <c r="S200" s="21">
        <f>NETWORKDAYS.INTL(DATE(2018,1,1),DATE(2018,12,31),1,{"2018/1/1";"2018/3/30";"2018/4/2";"2018/5/1";"2018/5/8";"2018/7/5";"2018/7/6";"2018/09/28";"2018/11/17";"2018/12/24";"2018/12/25";"2018/12/26"})</f>
        <v>250</v>
      </c>
      <c r="T200" s="21">
        <f t="shared" si="17"/>
        <v>115</v>
      </c>
      <c r="U200" s="21">
        <f t="shared" si="18"/>
        <v>365</v>
      </c>
      <c r="V200" s="311">
        <f t="shared" si="19"/>
        <v>400</v>
      </c>
      <c r="W200" s="140">
        <f t="shared" si="20"/>
        <v>0</v>
      </c>
      <c r="X200" s="141">
        <f t="shared" si="21"/>
        <v>0</v>
      </c>
      <c r="Y200" s="141">
        <v>0</v>
      </c>
    </row>
    <row r="201" spans="1:25" ht="15" x14ac:dyDescent="0.2">
      <c r="A201" s="276" t="s">
        <v>926</v>
      </c>
      <c r="B201" s="23" t="s">
        <v>54</v>
      </c>
      <c r="C201" s="23" t="s">
        <v>211</v>
      </c>
      <c r="D201" s="139" t="str">
        <f>VLOOKUP(C201,'Seznam HS - nemaš'!$A$1:$B$96,2,FALSE)</f>
        <v>438400</v>
      </c>
      <c r="E201" s="22" t="s">
        <v>927</v>
      </c>
      <c r="F201" s="30" t="s">
        <v>375</v>
      </c>
      <c r="G201" s="30" t="s">
        <v>612</v>
      </c>
      <c r="H201" s="28">
        <f>+IF(ISBLANK(I201),0,VLOOKUP(I201,'8Příloha_2_ceník_pravid_úklid'!$B$9:$C$30,2,0))</f>
        <v>9</v>
      </c>
      <c r="I201" s="143" t="s">
        <v>10</v>
      </c>
      <c r="J201" s="145">
        <v>24.34</v>
      </c>
      <c r="K201" s="275" t="s">
        <v>51</v>
      </c>
      <c r="L201" s="315" t="s">
        <v>928</v>
      </c>
      <c r="M201" s="22" t="s">
        <v>49</v>
      </c>
      <c r="N201" s="24">
        <f>IF((VLOOKUP(I201,'8Příloha_2_ceník_pravid_úklid'!$B$9:$I$30,8,0))=0,VLOOKUP(I201,'8Příloha_2_ceník_pravid_úklid'!$B$9:$K$30,10,0),VLOOKUP(I201,'8Příloha_2_ceník_pravid_úklid'!$B$9:$I$30,8,0))</f>
        <v>0</v>
      </c>
      <c r="O201" s="20">
        <v>1</v>
      </c>
      <c r="P201" s="20">
        <f>1+1/5</f>
        <v>1.2</v>
      </c>
      <c r="Q201" s="20">
        <v>0</v>
      </c>
      <c r="R201" s="20">
        <v>0</v>
      </c>
      <c r="S201" s="21">
        <f>NETWORKDAYS.INTL(DATE(2018,1,1),DATE(2018,12,31),1,{"2018/1/1";"2018/3/30";"2018/4/2";"2018/5/1";"2018/5/8";"2018/7/5";"2018/7/6";"2018/09/28";"2018/11/17";"2018/12/24";"2018/12/25";"2018/12/26"})</f>
        <v>250</v>
      </c>
      <c r="T201" s="21">
        <f t="shared" si="17"/>
        <v>115</v>
      </c>
      <c r="U201" s="21">
        <f t="shared" si="18"/>
        <v>365</v>
      </c>
      <c r="V201" s="311">
        <f t="shared" si="19"/>
        <v>300</v>
      </c>
      <c r="W201" s="140">
        <f t="shared" si="20"/>
        <v>0</v>
      </c>
      <c r="X201" s="141">
        <f t="shared" si="21"/>
        <v>0</v>
      </c>
      <c r="Y201" s="141">
        <v>0</v>
      </c>
    </row>
    <row r="202" spans="1:25" ht="15" x14ac:dyDescent="0.2">
      <c r="A202" s="353" t="s">
        <v>854</v>
      </c>
      <c r="B202" s="23" t="s">
        <v>54</v>
      </c>
      <c r="C202" s="23" t="s">
        <v>217</v>
      </c>
      <c r="D202" s="139" t="str">
        <f>VLOOKUP(C202,'Seznam HS - nemaš'!$A$1:$B$96,2,FALSE)</f>
        <v>451500</v>
      </c>
      <c r="E202" s="22" t="s">
        <v>929</v>
      </c>
      <c r="F202" s="30" t="s">
        <v>329</v>
      </c>
      <c r="G202" s="30" t="s">
        <v>930</v>
      </c>
      <c r="H202" s="28">
        <f>+IF(ISBLANK(I202),0,VLOOKUP(I202,'8Příloha_2_ceník_pravid_úklid'!$B$9:$C$30,2,0))</f>
        <v>4</v>
      </c>
      <c r="I202" s="143" t="s">
        <v>9</v>
      </c>
      <c r="J202" s="145">
        <v>16.239999999999998</v>
      </c>
      <c r="K202" s="275" t="s">
        <v>51</v>
      </c>
      <c r="L202" s="156" t="s">
        <v>21</v>
      </c>
      <c r="M202" s="22" t="s">
        <v>49</v>
      </c>
      <c r="N202" s="24">
        <f>IF((VLOOKUP(I202,'8Příloha_2_ceník_pravid_úklid'!$B$9:$I$30,8,0))=0,VLOOKUP(I202,'8Příloha_2_ceník_pravid_úklid'!$B$9:$K$30,10,0),VLOOKUP(I202,'8Příloha_2_ceník_pravid_úklid'!$B$9:$I$30,8,0))</f>
        <v>0</v>
      </c>
      <c r="O202" s="20">
        <v>1</v>
      </c>
      <c r="P202" s="20">
        <v>1</v>
      </c>
      <c r="Q202" s="20">
        <v>0</v>
      </c>
      <c r="R202" s="20">
        <v>0</v>
      </c>
      <c r="S202" s="21">
        <f>NETWORKDAYS.INTL(DATE(2018,1,1),DATE(2018,12,31),1,{"2018/1/1";"2018/3/30";"2018/4/2";"2018/5/1";"2018/5/8";"2018/7/5";"2018/7/6";"2018/09/28";"2018/11/17";"2018/12/24";"2018/12/25";"2018/12/26"})</f>
        <v>250</v>
      </c>
      <c r="T202" s="21">
        <f t="shared" si="17"/>
        <v>115</v>
      </c>
      <c r="U202" s="21">
        <f t="shared" si="18"/>
        <v>365</v>
      </c>
      <c r="V202" s="311">
        <f t="shared" si="19"/>
        <v>250</v>
      </c>
      <c r="W202" s="140">
        <f t="shared" si="20"/>
        <v>0</v>
      </c>
      <c r="X202" s="141">
        <f t="shared" si="21"/>
        <v>0</v>
      </c>
      <c r="Y202" s="141">
        <v>0</v>
      </c>
    </row>
    <row r="203" spans="1:25" ht="15" x14ac:dyDescent="0.2">
      <c r="A203" s="353" t="s">
        <v>854</v>
      </c>
      <c r="B203" s="23" t="s">
        <v>54</v>
      </c>
      <c r="C203" s="23" t="s">
        <v>217</v>
      </c>
      <c r="D203" s="139" t="str">
        <f>VLOOKUP(C203,'Seznam HS - nemaš'!$A$1:$B$96,2,FALSE)</f>
        <v>451500</v>
      </c>
      <c r="E203" s="22" t="s">
        <v>931</v>
      </c>
      <c r="F203" s="30" t="s">
        <v>564</v>
      </c>
      <c r="G203" s="30"/>
      <c r="H203" s="28">
        <f>+IF(ISBLANK(I203),0,VLOOKUP(I203,'8Příloha_2_ceník_pravid_úklid'!$B$9:$C$30,2,0))</f>
        <v>4</v>
      </c>
      <c r="I203" s="143" t="s">
        <v>9</v>
      </c>
      <c r="J203" s="145">
        <v>15.93</v>
      </c>
      <c r="K203" s="275" t="s">
        <v>51</v>
      </c>
      <c r="L203" s="156" t="s">
        <v>21</v>
      </c>
      <c r="M203" s="22" t="s">
        <v>49</v>
      </c>
      <c r="N203" s="24">
        <f>IF((VLOOKUP(I203,'8Příloha_2_ceník_pravid_úklid'!$B$9:$I$30,8,0))=0,VLOOKUP(I203,'8Příloha_2_ceník_pravid_úklid'!$B$9:$K$30,10,0),VLOOKUP(I203,'8Příloha_2_ceník_pravid_úklid'!$B$9:$I$30,8,0))</f>
        <v>0</v>
      </c>
      <c r="O203" s="20">
        <v>1</v>
      </c>
      <c r="P203" s="20">
        <v>1</v>
      </c>
      <c r="Q203" s="20">
        <v>0</v>
      </c>
      <c r="R203" s="20">
        <v>0</v>
      </c>
      <c r="S203" s="21">
        <f>NETWORKDAYS.INTL(DATE(2018,1,1),DATE(2018,12,31),1,{"2018/1/1";"2018/3/30";"2018/4/2";"2018/5/1";"2018/5/8";"2018/7/5";"2018/7/6";"2018/09/28";"2018/11/17";"2018/12/24";"2018/12/25";"2018/12/26"})</f>
        <v>250</v>
      </c>
      <c r="T203" s="21">
        <f t="shared" si="17"/>
        <v>115</v>
      </c>
      <c r="U203" s="21">
        <f t="shared" si="18"/>
        <v>365</v>
      </c>
      <c r="V203" s="311">
        <f t="shared" si="19"/>
        <v>250</v>
      </c>
      <c r="W203" s="140">
        <f t="shared" si="20"/>
        <v>0</v>
      </c>
      <c r="X203" s="141">
        <f t="shared" si="21"/>
        <v>0</v>
      </c>
      <c r="Y203" s="141">
        <v>0</v>
      </c>
    </row>
    <row r="204" spans="1:25" ht="15" x14ac:dyDescent="0.2">
      <c r="A204" s="353" t="s">
        <v>854</v>
      </c>
      <c r="B204" s="23" t="s">
        <v>54</v>
      </c>
      <c r="C204" s="23" t="s">
        <v>217</v>
      </c>
      <c r="D204" s="139" t="str">
        <f>VLOOKUP(C204,'Seznam HS - nemaš'!$A$1:$B$96,2,FALSE)</f>
        <v>451500</v>
      </c>
      <c r="E204" s="22" t="s">
        <v>932</v>
      </c>
      <c r="F204" s="30" t="s">
        <v>329</v>
      </c>
      <c r="G204" s="30" t="s">
        <v>933</v>
      </c>
      <c r="H204" s="28">
        <f>+IF(ISBLANK(I204),0,VLOOKUP(I204,'8Příloha_2_ceník_pravid_úklid'!$B$9:$C$30,2,0))</f>
        <v>4</v>
      </c>
      <c r="I204" s="143" t="s">
        <v>9</v>
      </c>
      <c r="J204" s="145">
        <v>13.78</v>
      </c>
      <c r="K204" s="275" t="s">
        <v>51</v>
      </c>
      <c r="L204" s="156" t="s">
        <v>21</v>
      </c>
      <c r="M204" s="22" t="s">
        <v>49</v>
      </c>
      <c r="N204" s="24">
        <f>IF((VLOOKUP(I204,'8Příloha_2_ceník_pravid_úklid'!$B$9:$I$30,8,0))=0,VLOOKUP(I204,'8Příloha_2_ceník_pravid_úklid'!$B$9:$K$30,10,0),VLOOKUP(I204,'8Příloha_2_ceník_pravid_úklid'!$B$9:$I$30,8,0))</f>
        <v>0</v>
      </c>
      <c r="O204" s="20">
        <v>1</v>
      </c>
      <c r="P204" s="20">
        <v>1</v>
      </c>
      <c r="Q204" s="20">
        <v>0</v>
      </c>
      <c r="R204" s="20">
        <v>0</v>
      </c>
      <c r="S204" s="21">
        <f>NETWORKDAYS.INTL(DATE(2018,1,1),DATE(2018,12,31),1,{"2018/1/1";"2018/3/30";"2018/4/2";"2018/5/1";"2018/5/8";"2018/7/5";"2018/7/6";"2018/09/28";"2018/11/17";"2018/12/24";"2018/12/25";"2018/12/26"})</f>
        <v>250</v>
      </c>
      <c r="T204" s="21">
        <f t="shared" si="17"/>
        <v>115</v>
      </c>
      <c r="U204" s="21">
        <f t="shared" si="18"/>
        <v>365</v>
      </c>
      <c r="V204" s="311">
        <f t="shared" si="19"/>
        <v>250</v>
      </c>
      <c r="W204" s="140">
        <f t="shared" si="20"/>
        <v>0</v>
      </c>
      <c r="X204" s="141">
        <f t="shared" si="21"/>
        <v>0</v>
      </c>
      <c r="Y204" s="141">
        <v>0</v>
      </c>
    </row>
    <row r="205" spans="1:25" ht="15" x14ac:dyDescent="0.2">
      <c r="A205" s="353" t="s">
        <v>854</v>
      </c>
      <c r="B205" s="23" t="s">
        <v>54</v>
      </c>
      <c r="C205" s="23" t="s">
        <v>217</v>
      </c>
      <c r="D205" s="139" t="str">
        <f>VLOOKUP(C205,'Seznam HS - nemaš'!$A$1:$B$96,2,FALSE)</f>
        <v>451500</v>
      </c>
      <c r="E205" s="22" t="s">
        <v>934</v>
      </c>
      <c r="F205" s="30" t="s">
        <v>626</v>
      </c>
      <c r="G205" s="30"/>
      <c r="H205" s="28">
        <f>+IF(ISBLANK(I205),0,VLOOKUP(I205,'8Příloha_2_ceník_pravid_úklid'!$B$9:$C$30,2,0))</f>
        <v>4</v>
      </c>
      <c r="I205" s="143" t="s">
        <v>9</v>
      </c>
      <c r="J205" s="145">
        <v>14.14</v>
      </c>
      <c r="K205" s="275" t="s">
        <v>51</v>
      </c>
      <c r="L205" s="156" t="s">
        <v>21</v>
      </c>
      <c r="M205" s="22" t="s">
        <v>49</v>
      </c>
      <c r="N205" s="24">
        <f>IF((VLOOKUP(I205,'8Příloha_2_ceník_pravid_úklid'!$B$9:$I$30,8,0))=0,VLOOKUP(I205,'8Příloha_2_ceník_pravid_úklid'!$B$9:$K$30,10,0),VLOOKUP(I205,'8Příloha_2_ceník_pravid_úklid'!$B$9:$I$30,8,0))</f>
        <v>0</v>
      </c>
      <c r="O205" s="20">
        <v>1</v>
      </c>
      <c r="P205" s="20">
        <v>1</v>
      </c>
      <c r="Q205" s="20">
        <v>0</v>
      </c>
      <c r="R205" s="20">
        <v>0</v>
      </c>
      <c r="S205" s="21">
        <f>NETWORKDAYS.INTL(DATE(2018,1,1),DATE(2018,12,31),1,{"2018/1/1";"2018/3/30";"2018/4/2";"2018/5/1";"2018/5/8";"2018/7/5";"2018/7/6";"2018/09/28";"2018/11/17";"2018/12/24";"2018/12/25";"2018/12/26"})</f>
        <v>250</v>
      </c>
      <c r="T205" s="21">
        <f t="shared" si="17"/>
        <v>115</v>
      </c>
      <c r="U205" s="21">
        <f t="shared" si="18"/>
        <v>365</v>
      </c>
      <c r="V205" s="311">
        <f t="shared" si="19"/>
        <v>250</v>
      </c>
      <c r="W205" s="140">
        <f t="shared" si="20"/>
        <v>0</v>
      </c>
      <c r="X205" s="141">
        <f t="shared" si="21"/>
        <v>0</v>
      </c>
      <c r="Y205" s="141">
        <v>0</v>
      </c>
    </row>
    <row r="206" spans="1:25" ht="15" x14ac:dyDescent="0.2">
      <c r="A206" s="353" t="s">
        <v>854</v>
      </c>
      <c r="B206" s="23" t="s">
        <v>54</v>
      </c>
      <c r="C206" s="23" t="s">
        <v>217</v>
      </c>
      <c r="D206" s="139" t="str">
        <f>VLOOKUP(C206,'Seznam HS - nemaš'!$A$1:$B$96,2,FALSE)</f>
        <v>451500</v>
      </c>
      <c r="E206" s="22" t="s">
        <v>935</v>
      </c>
      <c r="F206" s="30" t="s">
        <v>463</v>
      </c>
      <c r="G206" s="30" t="s">
        <v>936</v>
      </c>
      <c r="H206" s="28">
        <f>+IF(ISBLANK(I206),0,VLOOKUP(I206,'8Příloha_2_ceník_pravid_úklid'!$B$9:$C$30,2,0))</f>
        <v>17</v>
      </c>
      <c r="I206" s="143" t="s">
        <v>13</v>
      </c>
      <c r="J206" s="145">
        <v>30.26</v>
      </c>
      <c r="K206" s="275" t="s">
        <v>51</v>
      </c>
      <c r="L206" s="156" t="s">
        <v>21</v>
      </c>
      <c r="M206" s="22" t="s">
        <v>49</v>
      </c>
      <c r="N206" s="24">
        <f>IF((VLOOKUP(I206,'8Příloha_2_ceník_pravid_úklid'!$B$9:$I$30,8,0))=0,VLOOKUP(I206,'8Příloha_2_ceník_pravid_úklid'!$B$9:$K$30,10,0),VLOOKUP(I206,'8Příloha_2_ceník_pravid_úklid'!$B$9:$I$30,8,0))</f>
        <v>0</v>
      </c>
      <c r="O206" s="20">
        <v>1</v>
      </c>
      <c r="P206" s="20">
        <v>1</v>
      </c>
      <c r="Q206" s="20">
        <v>0</v>
      </c>
      <c r="R206" s="20">
        <v>0</v>
      </c>
      <c r="S206" s="21">
        <f>NETWORKDAYS.INTL(DATE(2018,1,1),DATE(2018,12,31),1,{"2018/1/1";"2018/3/30";"2018/4/2";"2018/5/1";"2018/5/8";"2018/7/5";"2018/7/6";"2018/09/28";"2018/11/17";"2018/12/24";"2018/12/25";"2018/12/26"})</f>
        <v>250</v>
      </c>
      <c r="T206" s="21">
        <f t="shared" si="17"/>
        <v>115</v>
      </c>
      <c r="U206" s="21">
        <f t="shared" si="18"/>
        <v>365</v>
      </c>
      <c r="V206" s="311">
        <f t="shared" si="19"/>
        <v>250</v>
      </c>
      <c r="W206" s="140">
        <f t="shared" si="20"/>
        <v>0</v>
      </c>
      <c r="X206" s="141">
        <f t="shared" si="21"/>
        <v>0</v>
      </c>
      <c r="Y206" s="141">
        <v>0</v>
      </c>
    </row>
    <row r="207" spans="1:25" ht="15" x14ac:dyDescent="0.2">
      <c r="A207" s="353" t="s">
        <v>854</v>
      </c>
      <c r="B207" s="23" t="s">
        <v>54</v>
      </c>
      <c r="C207" s="23" t="s">
        <v>217</v>
      </c>
      <c r="D207" s="139" t="str">
        <f>VLOOKUP(C207,'Seznam HS - nemaš'!$A$1:$B$96,2,FALSE)</f>
        <v>451500</v>
      </c>
      <c r="E207" s="22" t="s">
        <v>937</v>
      </c>
      <c r="F207" s="30" t="s">
        <v>53</v>
      </c>
      <c r="G207" s="30"/>
      <c r="H207" s="28">
        <f>+IF(ISBLANK(I207),0,VLOOKUP(I207,'8Příloha_2_ceník_pravid_úklid'!$B$9:$C$30,2,0))</f>
        <v>6</v>
      </c>
      <c r="I207" s="143" t="s">
        <v>1</v>
      </c>
      <c r="J207" s="145">
        <v>20.55</v>
      </c>
      <c r="K207" s="275" t="s">
        <v>51</v>
      </c>
      <c r="L207" s="156" t="s">
        <v>21</v>
      </c>
      <c r="M207" s="22" t="s">
        <v>49</v>
      </c>
      <c r="N207" s="24">
        <f>IF((VLOOKUP(I207,'8Příloha_2_ceník_pravid_úklid'!$B$9:$I$30,8,0))=0,VLOOKUP(I207,'8Příloha_2_ceník_pravid_úklid'!$B$9:$K$30,10,0),VLOOKUP(I207,'8Příloha_2_ceník_pravid_úklid'!$B$9:$I$30,8,0))</f>
        <v>0</v>
      </c>
      <c r="O207" s="20">
        <v>1</v>
      </c>
      <c r="P207" s="20">
        <v>1</v>
      </c>
      <c r="Q207" s="20">
        <v>0</v>
      </c>
      <c r="R207" s="20">
        <v>0</v>
      </c>
      <c r="S207" s="21">
        <f>NETWORKDAYS.INTL(DATE(2018,1,1),DATE(2018,12,31),1,{"2018/1/1";"2018/3/30";"2018/4/2";"2018/5/1";"2018/5/8";"2018/7/5";"2018/7/6";"2018/09/28";"2018/11/17";"2018/12/24";"2018/12/25";"2018/12/26"})</f>
        <v>250</v>
      </c>
      <c r="T207" s="21">
        <f t="shared" si="17"/>
        <v>115</v>
      </c>
      <c r="U207" s="21">
        <f t="shared" si="18"/>
        <v>365</v>
      </c>
      <c r="V207" s="311">
        <f t="shared" si="19"/>
        <v>250</v>
      </c>
      <c r="W207" s="140">
        <f t="shared" si="20"/>
        <v>0</v>
      </c>
      <c r="X207" s="141">
        <f t="shared" si="21"/>
        <v>0</v>
      </c>
      <c r="Y207" s="141">
        <v>0</v>
      </c>
    </row>
    <row r="208" spans="1:25" ht="15" x14ac:dyDescent="0.2">
      <c r="A208" s="353" t="s">
        <v>854</v>
      </c>
      <c r="B208" s="23" t="s">
        <v>54</v>
      </c>
      <c r="C208" s="23" t="s">
        <v>217</v>
      </c>
      <c r="D208" s="139" t="str">
        <f>VLOOKUP(C208,'Seznam HS - nemaš'!$A$1:$B$96,2,FALSE)</f>
        <v>451500</v>
      </c>
      <c r="E208" s="22" t="s">
        <v>938</v>
      </c>
      <c r="F208" s="30" t="s">
        <v>734</v>
      </c>
      <c r="G208" s="30"/>
      <c r="H208" s="28">
        <f>+IF(ISBLANK(I208),0,VLOOKUP(I208,'8Příloha_2_ceník_pravid_úklid'!$B$9:$C$30,2,0))</f>
        <v>7</v>
      </c>
      <c r="I208" s="143" t="s">
        <v>14</v>
      </c>
      <c r="J208" s="145">
        <v>1.05</v>
      </c>
      <c r="K208" s="275" t="s">
        <v>50</v>
      </c>
      <c r="L208" s="156" t="s">
        <v>21</v>
      </c>
      <c r="M208" s="22" t="s">
        <v>49</v>
      </c>
      <c r="N208" s="24">
        <f>IF((VLOOKUP(I208,'8Příloha_2_ceník_pravid_úklid'!$B$9:$I$30,8,0))=0,VLOOKUP(I208,'8Příloha_2_ceník_pravid_úklid'!$B$9:$K$30,10,0),VLOOKUP(I208,'8Příloha_2_ceník_pravid_úklid'!$B$9:$I$30,8,0))</f>
        <v>0</v>
      </c>
      <c r="O208" s="20">
        <v>1</v>
      </c>
      <c r="P208" s="20">
        <v>1</v>
      </c>
      <c r="Q208" s="20">
        <v>0</v>
      </c>
      <c r="R208" s="20">
        <v>0</v>
      </c>
      <c r="S208" s="21">
        <f>NETWORKDAYS.INTL(DATE(2018,1,1),DATE(2018,12,31),1,{"2018/1/1";"2018/3/30";"2018/4/2";"2018/5/1";"2018/5/8";"2018/7/5";"2018/7/6";"2018/09/28";"2018/11/17";"2018/12/24";"2018/12/25";"2018/12/26"})</f>
        <v>250</v>
      </c>
      <c r="T208" s="21">
        <f t="shared" si="17"/>
        <v>115</v>
      </c>
      <c r="U208" s="21">
        <f t="shared" si="18"/>
        <v>365</v>
      </c>
      <c r="V208" s="311">
        <f t="shared" si="19"/>
        <v>250</v>
      </c>
      <c r="W208" s="140">
        <f t="shared" si="20"/>
        <v>0</v>
      </c>
      <c r="X208" s="141">
        <f t="shared" si="21"/>
        <v>0</v>
      </c>
      <c r="Y208" s="141">
        <v>0</v>
      </c>
    </row>
    <row r="209" spans="1:25" ht="15" x14ac:dyDescent="0.2">
      <c r="A209" s="353" t="s">
        <v>854</v>
      </c>
      <c r="B209" s="23" t="s">
        <v>54</v>
      </c>
      <c r="C209" s="23" t="s">
        <v>217</v>
      </c>
      <c r="D209" s="139" t="str">
        <f>VLOOKUP(C209,'Seznam HS - nemaš'!$A$1:$B$96,2,FALSE)</f>
        <v>451500</v>
      </c>
      <c r="E209" s="22" t="s">
        <v>939</v>
      </c>
      <c r="F209" s="30" t="s">
        <v>437</v>
      </c>
      <c r="G209" s="30"/>
      <c r="H209" s="28">
        <f>+IF(ISBLANK(I209),0,VLOOKUP(I209,'8Příloha_2_ceník_pravid_úklid'!$B$9:$C$30,2,0))</f>
        <v>7</v>
      </c>
      <c r="I209" s="143" t="s">
        <v>14</v>
      </c>
      <c r="J209" s="145">
        <v>0.96</v>
      </c>
      <c r="K209" s="275" t="s">
        <v>50</v>
      </c>
      <c r="L209" s="156" t="s">
        <v>21</v>
      </c>
      <c r="M209" s="22" t="s">
        <v>49</v>
      </c>
      <c r="N209" s="24">
        <f>IF((VLOOKUP(I209,'8Příloha_2_ceník_pravid_úklid'!$B$9:$I$30,8,0))=0,VLOOKUP(I209,'8Příloha_2_ceník_pravid_úklid'!$B$9:$K$30,10,0),VLOOKUP(I209,'8Příloha_2_ceník_pravid_úklid'!$B$9:$I$30,8,0))</f>
        <v>0</v>
      </c>
      <c r="O209" s="20">
        <v>1</v>
      </c>
      <c r="P209" s="20">
        <v>1</v>
      </c>
      <c r="Q209" s="20">
        <v>0</v>
      </c>
      <c r="R209" s="20">
        <v>0</v>
      </c>
      <c r="S209" s="21">
        <f>NETWORKDAYS.INTL(DATE(2018,1,1),DATE(2018,12,31),1,{"2018/1/1";"2018/3/30";"2018/4/2";"2018/5/1";"2018/5/8";"2018/7/5";"2018/7/6";"2018/09/28";"2018/11/17";"2018/12/24";"2018/12/25";"2018/12/26"})</f>
        <v>250</v>
      </c>
      <c r="T209" s="21">
        <f t="shared" si="17"/>
        <v>115</v>
      </c>
      <c r="U209" s="21">
        <f t="shared" si="18"/>
        <v>365</v>
      </c>
      <c r="V209" s="311">
        <f t="shared" si="19"/>
        <v>250</v>
      </c>
      <c r="W209" s="140">
        <f t="shared" si="20"/>
        <v>0</v>
      </c>
      <c r="X209" s="141">
        <f t="shared" si="21"/>
        <v>0</v>
      </c>
      <c r="Y209" s="141">
        <v>0</v>
      </c>
    </row>
    <row r="210" spans="1:25" ht="15" x14ac:dyDescent="0.2">
      <c r="A210" s="353" t="s">
        <v>767</v>
      </c>
      <c r="B210" s="23" t="s">
        <v>54</v>
      </c>
      <c r="C210" s="23"/>
      <c r="D210" s="139">
        <f>VLOOKUP(C210,'Seznam HS - nemaš'!$A$1:$B$96,2,FALSE)</f>
        <v>0</v>
      </c>
      <c r="E210" s="22" t="s">
        <v>940</v>
      </c>
      <c r="F210" s="30" t="s">
        <v>437</v>
      </c>
      <c r="G210" s="30"/>
      <c r="H210" s="28">
        <f>+IF(ISBLANK(I210),0,VLOOKUP(I210,'8Příloha_2_ceník_pravid_úklid'!$B$9:$C$30,2,0))</f>
        <v>7</v>
      </c>
      <c r="I210" s="143" t="s">
        <v>14</v>
      </c>
      <c r="J210" s="145">
        <v>0.96</v>
      </c>
      <c r="K210" s="275" t="s">
        <v>50</v>
      </c>
      <c r="L210" s="156" t="s">
        <v>21</v>
      </c>
      <c r="M210" s="22" t="s">
        <v>49</v>
      </c>
      <c r="N210" s="24">
        <f>IF((VLOOKUP(I210,'8Příloha_2_ceník_pravid_úklid'!$B$9:$I$30,8,0))=0,VLOOKUP(I210,'8Příloha_2_ceník_pravid_úklid'!$B$9:$K$30,10,0),VLOOKUP(I210,'8Příloha_2_ceník_pravid_úklid'!$B$9:$I$30,8,0))</f>
        <v>0</v>
      </c>
      <c r="O210" s="20">
        <v>1</v>
      </c>
      <c r="P210" s="20">
        <v>1</v>
      </c>
      <c r="Q210" s="20">
        <v>0</v>
      </c>
      <c r="R210" s="20">
        <v>0</v>
      </c>
      <c r="S210" s="21">
        <f>NETWORKDAYS.INTL(DATE(2018,1,1),DATE(2018,12,31),1,{"2018/1/1";"2018/3/30";"2018/4/2";"2018/5/1";"2018/5/8";"2018/7/5";"2018/7/6";"2018/09/28";"2018/11/17";"2018/12/24";"2018/12/25";"2018/12/26"})</f>
        <v>250</v>
      </c>
      <c r="T210" s="21">
        <f t="shared" si="17"/>
        <v>115</v>
      </c>
      <c r="U210" s="21">
        <f t="shared" si="18"/>
        <v>365</v>
      </c>
      <c r="V210" s="311">
        <f t="shared" si="19"/>
        <v>250</v>
      </c>
      <c r="W210" s="140">
        <f t="shared" si="20"/>
        <v>0</v>
      </c>
      <c r="X210" s="141">
        <f t="shared" si="21"/>
        <v>0</v>
      </c>
      <c r="Y210" s="141">
        <v>0</v>
      </c>
    </row>
    <row r="211" spans="1:25" ht="15" x14ac:dyDescent="0.2">
      <c r="A211" s="353" t="s">
        <v>767</v>
      </c>
      <c r="B211" s="23" t="s">
        <v>54</v>
      </c>
      <c r="C211" s="23"/>
      <c r="D211" s="139">
        <f>VLOOKUP(C211,'Seznam HS - nemaš'!$A$1:$B$96,2,FALSE)</f>
        <v>0</v>
      </c>
      <c r="E211" s="22" t="s">
        <v>941</v>
      </c>
      <c r="F211" s="30" t="s">
        <v>437</v>
      </c>
      <c r="G211" s="30"/>
      <c r="H211" s="28">
        <f>+IF(ISBLANK(I211),0,VLOOKUP(I211,'8Příloha_2_ceník_pravid_úklid'!$B$9:$C$30,2,0))</f>
        <v>7</v>
      </c>
      <c r="I211" s="143" t="s">
        <v>14</v>
      </c>
      <c r="J211" s="145">
        <v>0.96</v>
      </c>
      <c r="K211" s="275" t="s">
        <v>50</v>
      </c>
      <c r="L211" s="156" t="s">
        <v>21</v>
      </c>
      <c r="M211" s="22" t="s">
        <v>49</v>
      </c>
      <c r="N211" s="24">
        <f>IF((VLOOKUP(I211,'8Příloha_2_ceník_pravid_úklid'!$B$9:$I$30,8,0))=0,VLOOKUP(I211,'8Příloha_2_ceník_pravid_úklid'!$B$9:$K$30,10,0),VLOOKUP(I211,'8Příloha_2_ceník_pravid_úklid'!$B$9:$I$30,8,0))</f>
        <v>0</v>
      </c>
      <c r="O211" s="20">
        <v>1</v>
      </c>
      <c r="P211" s="20">
        <v>1</v>
      </c>
      <c r="Q211" s="20">
        <v>0</v>
      </c>
      <c r="R211" s="20">
        <v>0</v>
      </c>
      <c r="S211" s="21">
        <f>NETWORKDAYS.INTL(DATE(2018,1,1),DATE(2018,12,31),1,{"2018/1/1";"2018/3/30";"2018/4/2";"2018/5/1";"2018/5/8";"2018/7/5";"2018/7/6";"2018/09/28";"2018/11/17";"2018/12/24";"2018/12/25";"2018/12/26"})</f>
        <v>250</v>
      </c>
      <c r="T211" s="21">
        <f t="shared" si="17"/>
        <v>115</v>
      </c>
      <c r="U211" s="21">
        <f t="shared" si="18"/>
        <v>365</v>
      </c>
      <c r="V211" s="311">
        <f t="shared" si="19"/>
        <v>250</v>
      </c>
      <c r="W211" s="140">
        <f t="shared" si="20"/>
        <v>0</v>
      </c>
      <c r="X211" s="141">
        <f t="shared" si="21"/>
        <v>0</v>
      </c>
      <c r="Y211" s="141">
        <v>0</v>
      </c>
    </row>
    <row r="212" spans="1:25" ht="15" x14ac:dyDescent="0.2">
      <c r="A212" s="353" t="s">
        <v>767</v>
      </c>
      <c r="B212" s="23" t="s">
        <v>54</v>
      </c>
      <c r="C212" s="23"/>
      <c r="D212" s="139">
        <f>VLOOKUP(C212,'Seznam HS - nemaš'!$A$1:$B$96,2,FALSE)</f>
        <v>0</v>
      </c>
      <c r="E212" s="22" t="s">
        <v>942</v>
      </c>
      <c r="F212" s="30" t="s">
        <v>437</v>
      </c>
      <c r="G212" s="30" t="s">
        <v>444</v>
      </c>
      <c r="H212" s="28">
        <f>+IF(ISBLANK(I212),0,VLOOKUP(I212,'8Příloha_2_ceník_pravid_úklid'!$B$9:$C$30,2,0))</f>
        <v>7</v>
      </c>
      <c r="I212" s="143" t="s">
        <v>14</v>
      </c>
      <c r="J212" s="145">
        <v>4.29</v>
      </c>
      <c r="K212" s="275" t="s">
        <v>50</v>
      </c>
      <c r="L212" s="156" t="s">
        <v>21</v>
      </c>
      <c r="M212" s="22" t="s">
        <v>49</v>
      </c>
      <c r="N212" s="24">
        <f>IF((VLOOKUP(I212,'8Příloha_2_ceník_pravid_úklid'!$B$9:$I$30,8,0))=0,VLOOKUP(I212,'8Příloha_2_ceník_pravid_úklid'!$B$9:$K$30,10,0),VLOOKUP(I212,'8Příloha_2_ceník_pravid_úklid'!$B$9:$I$30,8,0))</f>
        <v>0</v>
      </c>
      <c r="O212" s="20">
        <v>1</v>
      </c>
      <c r="P212" s="20">
        <v>1</v>
      </c>
      <c r="Q212" s="20">
        <v>0</v>
      </c>
      <c r="R212" s="20">
        <v>0</v>
      </c>
      <c r="S212" s="21">
        <f>NETWORKDAYS.INTL(DATE(2018,1,1),DATE(2018,12,31),1,{"2018/1/1";"2018/3/30";"2018/4/2";"2018/5/1";"2018/5/8";"2018/7/5";"2018/7/6";"2018/09/28";"2018/11/17";"2018/12/24";"2018/12/25";"2018/12/26"})</f>
        <v>250</v>
      </c>
      <c r="T212" s="21">
        <f t="shared" si="17"/>
        <v>115</v>
      </c>
      <c r="U212" s="21">
        <f t="shared" si="18"/>
        <v>365</v>
      </c>
      <c r="V212" s="311">
        <f t="shared" si="19"/>
        <v>250</v>
      </c>
      <c r="W212" s="140">
        <f t="shared" si="20"/>
        <v>0</v>
      </c>
      <c r="X212" s="141">
        <f t="shared" si="21"/>
        <v>0</v>
      </c>
      <c r="Y212" s="141">
        <v>0</v>
      </c>
    </row>
    <row r="213" spans="1:25" ht="15" x14ac:dyDescent="0.2">
      <c r="A213" s="353" t="s">
        <v>854</v>
      </c>
      <c r="B213" s="23" t="s">
        <v>54</v>
      </c>
      <c r="C213" s="23" t="s">
        <v>217</v>
      </c>
      <c r="D213" s="139" t="str">
        <f>VLOOKUP(C213,'Seznam HS - nemaš'!$A$1:$B$96,2,FALSE)</f>
        <v>451500</v>
      </c>
      <c r="E213" s="22" t="s">
        <v>943</v>
      </c>
      <c r="F213" s="30" t="s">
        <v>437</v>
      </c>
      <c r="G213" s="30" t="s">
        <v>444</v>
      </c>
      <c r="H213" s="28">
        <f>+IF(ISBLANK(I213),0,VLOOKUP(I213,'8Příloha_2_ceník_pravid_úklid'!$B$9:$C$30,2,0))</f>
        <v>7</v>
      </c>
      <c r="I213" s="143" t="s">
        <v>14</v>
      </c>
      <c r="J213" s="145">
        <v>3.52</v>
      </c>
      <c r="K213" s="275" t="s">
        <v>50</v>
      </c>
      <c r="L213" s="156" t="s">
        <v>21</v>
      </c>
      <c r="M213" s="22" t="s">
        <v>49</v>
      </c>
      <c r="N213" s="24">
        <f>IF((VLOOKUP(I213,'8Příloha_2_ceník_pravid_úklid'!$B$9:$I$30,8,0))=0,VLOOKUP(I213,'8Příloha_2_ceník_pravid_úklid'!$B$9:$K$30,10,0),VLOOKUP(I213,'8Příloha_2_ceník_pravid_úklid'!$B$9:$I$30,8,0))</f>
        <v>0</v>
      </c>
      <c r="O213" s="20">
        <v>1</v>
      </c>
      <c r="P213" s="20">
        <v>1</v>
      </c>
      <c r="Q213" s="20">
        <v>0</v>
      </c>
      <c r="R213" s="20">
        <v>0</v>
      </c>
      <c r="S213" s="21">
        <f>NETWORKDAYS.INTL(DATE(2018,1,1),DATE(2018,12,31),1,{"2018/1/1";"2018/3/30";"2018/4/2";"2018/5/1";"2018/5/8";"2018/7/5";"2018/7/6";"2018/09/28";"2018/11/17";"2018/12/24";"2018/12/25";"2018/12/26"})</f>
        <v>250</v>
      </c>
      <c r="T213" s="21">
        <f t="shared" si="17"/>
        <v>115</v>
      </c>
      <c r="U213" s="21">
        <f t="shared" si="18"/>
        <v>365</v>
      </c>
      <c r="V213" s="311">
        <f t="shared" si="19"/>
        <v>250</v>
      </c>
      <c r="W213" s="140">
        <f t="shared" si="20"/>
        <v>0</v>
      </c>
      <c r="X213" s="141">
        <f t="shared" si="21"/>
        <v>0</v>
      </c>
      <c r="Y213" s="141">
        <v>0</v>
      </c>
    </row>
    <row r="214" spans="1:25" ht="15" x14ac:dyDescent="0.2">
      <c r="A214" s="235" t="s">
        <v>926</v>
      </c>
      <c r="B214" s="236" t="s">
        <v>54</v>
      </c>
      <c r="C214" s="236" t="s">
        <v>217</v>
      </c>
      <c r="D214" s="535" t="str">
        <f>VLOOKUP(C214,'Seznam HS - nemaš'!$A$1:$B$96,2,FALSE)</f>
        <v>451500</v>
      </c>
      <c r="E214" s="237" t="s">
        <v>944</v>
      </c>
      <c r="F214" s="303" t="s">
        <v>554</v>
      </c>
      <c r="G214" s="303"/>
      <c r="H214" s="224">
        <f>+IF(ISBLANK(I214),0,VLOOKUP(I214,'8Příloha_2_ceník_pravid_úklid'!$B$9:$C$30,2,0))</f>
        <v>0</v>
      </c>
      <c r="I214" s="273"/>
      <c r="J214" s="241">
        <v>1.31</v>
      </c>
      <c r="K214" s="240" t="s">
        <v>50</v>
      </c>
      <c r="L214" s="310" t="s">
        <v>66</v>
      </c>
      <c r="M214" s="237" t="s">
        <v>49</v>
      </c>
      <c r="N214" s="229" t="s">
        <v>501</v>
      </c>
      <c r="O214" s="230">
        <v>0</v>
      </c>
      <c r="P214" s="230">
        <v>0</v>
      </c>
      <c r="Q214" s="230">
        <v>0</v>
      </c>
      <c r="R214" s="230">
        <v>0</v>
      </c>
      <c r="S214" s="231">
        <f>NETWORKDAYS.INTL(DATE(2018,1,1),DATE(2018,12,31),1,{"2018/1/1";"2018/3/30";"2018/4/2";"2018/5/1";"2018/5/8";"2018/7/5";"2018/7/6";"2018/09/28";"2018/11/17";"2018/12/24";"2018/12/25";"2018/12/26"})</f>
        <v>250</v>
      </c>
      <c r="T214" s="231">
        <f t="shared" si="17"/>
        <v>115</v>
      </c>
      <c r="U214" s="231">
        <f t="shared" si="18"/>
        <v>365</v>
      </c>
      <c r="V214" s="312">
        <f t="shared" si="19"/>
        <v>0</v>
      </c>
      <c r="W214" s="233">
        <f t="shared" si="20"/>
        <v>0</v>
      </c>
      <c r="X214" s="234">
        <f t="shared" si="21"/>
        <v>0</v>
      </c>
      <c r="Y214" s="234">
        <f t="shared" si="21"/>
        <v>0</v>
      </c>
    </row>
    <row r="215" spans="1:25" ht="15" x14ac:dyDescent="0.2">
      <c r="A215" s="276" t="s">
        <v>926</v>
      </c>
      <c r="B215" s="23" t="s">
        <v>54</v>
      </c>
      <c r="C215" s="23" t="s">
        <v>217</v>
      </c>
      <c r="D215" s="139" t="str">
        <f>VLOOKUP(C215,'Seznam HS - nemaš'!$A$1:$B$96,2,FALSE)</f>
        <v>451500</v>
      </c>
      <c r="E215" s="22" t="s">
        <v>945</v>
      </c>
      <c r="F215" s="30" t="s">
        <v>437</v>
      </c>
      <c r="G215" s="30"/>
      <c r="H215" s="28">
        <f>+IF(ISBLANK(I215),0,VLOOKUP(I215,'8Příloha_2_ceník_pravid_úklid'!$B$9:$C$30,2,0))</f>
        <v>7</v>
      </c>
      <c r="I215" s="143" t="s">
        <v>14</v>
      </c>
      <c r="J215" s="145">
        <v>1.31</v>
      </c>
      <c r="K215" s="275" t="s">
        <v>50</v>
      </c>
      <c r="L215" s="156" t="s">
        <v>928</v>
      </c>
      <c r="M215" s="22" t="s">
        <v>49</v>
      </c>
      <c r="N215" s="24">
        <f>IF((VLOOKUP(I215,'8Příloha_2_ceník_pravid_úklid'!$B$9:$I$30,8,0))=0,VLOOKUP(I215,'8Příloha_2_ceník_pravid_úklid'!$B$9:$K$30,10,0),VLOOKUP(I215,'8Příloha_2_ceník_pravid_úklid'!$B$9:$I$30,8,0))</f>
        <v>0</v>
      </c>
      <c r="O215" s="20">
        <v>1</v>
      </c>
      <c r="P215" s="20">
        <f t="shared" ref="P215:P221" si="22">1+1/5</f>
        <v>1.2</v>
      </c>
      <c r="Q215" s="20">
        <v>0</v>
      </c>
      <c r="R215" s="20">
        <v>0</v>
      </c>
      <c r="S215" s="21">
        <f>NETWORKDAYS.INTL(DATE(2018,1,1),DATE(2018,12,31),1,{"2018/1/1";"2018/3/30";"2018/4/2";"2018/5/1";"2018/5/8";"2018/7/5";"2018/7/6";"2018/09/28";"2018/11/17";"2018/12/24";"2018/12/25";"2018/12/26"})</f>
        <v>250</v>
      </c>
      <c r="T215" s="21">
        <f t="shared" si="17"/>
        <v>115</v>
      </c>
      <c r="U215" s="21">
        <f t="shared" si="18"/>
        <v>365</v>
      </c>
      <c r="V215" s="311">
        <f t="shared" si="19"/>
        <v>300</v>
      </c>
      <c r="W215" s="140">
        <f t="shared" si="20"/>
        <v>0</v>
      </c>
      <c r="X215" s="141">
        <f t="shared" si="21"/>
        <v>0</v>
      </c>
      <c r="Y215" s="141">
        <v>0</v>
      </c>
    </row>
    <row r="216" spans="1:25" ht="15" x14ac:dyDescent="0.2">
      <c r="A216" s="353" t="s">
        <v>767</v>
      </c>
      <c r="B216" s="23" t="s">
        <v>54</v>
      </c>
      <c r="C216" s="23"/>
      <c r="D216" s="139">
        <f>VLOOKUP(C216,'Seznam HS - nemaš'!$A$1:$B$96,2,FALSE)</f>
        <v>0</v>
      </c>
      <c r="E216" s="22" t="s">
        <v>946</v>
      </c>
      <c r="F216" s="30" t="s">
        <v>437</v>
      </c>
      <c r="G216" s="30" t="s">
        <v>444</v>
      </c>
      <c r="H216" s="28">
        <f>+IF(ISBLANK(I216),0,VLOOKUP(I216,'8Příloha_2_ceník_pravid_úklid'!$B$9:$C$30,2,0))</f>
        <v>7</v>
      </c>
      <c r="I216" s="143" t="s">
        <v>14</v>
      </c>
      <c r="J216" s="145">
        <v>3.93</v>
      </c>
      <c r="K216" s="275" t="s">
        <v>50</v>
      </c>
      <c r="L216" s="156" t="s">
        <v>928</v>
      </c>
      <c r="M216" s="22" t="s">
        <v>49</v>
      </c>
      <c r="N216" s="24">
        <f>IF((VLOOKUP(I216,'8Příloha_2_ceník_pravid_úklid'!$B$9:$I$30,8,0))=0,VLOOKUP(I216,'8Příloha_2_ceník_pravid_úklid'!$B$9:$K$30,10,0),VLOOKUP(I216,'8Příloha_2_ceník_pravid_úklid'!$B$9:$I$30,8,0))</f>
        <v>0</v>
      </c>
      <c r="O216" s="20">
        <v>1</v>
      </c>
      <c r="P216" s="20">
        <f t="shared" si="22"/>
        <v>1.2</v>
      </c>
      <c r="Q216" s="20">
        <v>0</v>
      </c>
      <c r="R216" s="20">
        <v>0</v>
      </c>
      <c r="S216" s="21">
        <f>NETWORKDAYS.INTL(DATE(2018,1,1),DATE(2018,12,31),1,{"2018/1/1";"2018/3/30";"2018/4/2";"2018/5/1";"2018/5/8";"2018/7/5";"2018/7/6";"2018/09/28";"2018/11/17";"2018/12/24";"2018/12/25";"2018/12/26"})</f>
        <v>250</v>
      </c>
      <c r="T216" s="21">
        <f t="shared" si="17"/>
        <v>115</v>
      </c>
      <c r="U216" s="21">
        <f t="shared" si="18"/>
        <v>365</v>
      </c>
      <c r="V216" s="311">
        <f t="shared" si="19"/>
        <v>300</v>
      </c>
      <c r="W216" s="140">
        <f t="shared" si="20"/>
        <v>0</v>
      </c>
      <c r="X216" s="141">
        <f t="shared" si="21"/>
        <v>0</v>
      </c>
      <c r="Y216" s="141">
        <v>0</v>
      </c>
    </row>
    <row r="217" spans="1:25" ht="15" x14ac:dyDescent="0.2">
      <c r="A217" s="353" t="s">
        <v>767</v>
      </c>
      <c r="B217" s="23" t="s">
        <v>54</v>
      </c>
      <c r="C217" s="23"/>
      <c r="D217" s="139">
        <f>VLOOKUP(C217,'Seznam HS - nemaš'!$A$1:$B$96,2,FALSE)</f>
        <v>0</v>
      </c>
      <c r="E217" s="22" t="s">
        <v>947</v>
      </c>
      <c r="F217" s="30" t="s">
        <v>437</v>
      </c>
      <c r="G217" s="30"/>
      <c r="H217" s="28">
        <f>+IF(ISBLANK(I217),0,VLOOKUP(I217,'8Příloha_2_ceník_pravid_úklid'!$B$9:$C$30,2,0))</f>
        <v>7</v>
      </c>
      <c r="I217" s="143" t="s">
        <v>14</v>
      </c>
      <c r="J217" s="145">
        <v>1.1100000000000001</v>
      </c>
      <c r="K217" s="275" t="s">
        <v>50</v>
      </c>
      <c r="L217" s="156" t="s">
        <v>928</v>
      </c>
      <c r="M217" s="22" t="s">
        <v>49</v>
      </c>
      <c r="N217" s="24">
        <f>IF((VLOOKUP(I217,'8Příloha_2_ceník_pravid_úklid'!$B$9:$I$30,8,0))=0,VLOOKUP(I217,'8Příloha_2_ceník_pravid_úklid'!$B$9:$K$30,10,0),VLOOKUP(I217,'8Příloha_2_ceník_pravid_úklid'!$B$9:$I$30,8,0))</f>
        <v>0</v>
      </c>
      <c r="O217" s="20">
        <v>1</v>
      </c>
      <c r="P217" s="20">
        <f t="shared" si="22"/>
        <v>1.2</v>
      </c>
      <c r="Q217" s="20">
        <v>0</v>
      </c>
      <c r="R217" s="20">
        <v>0</v>
      </c>
      <c r="S217" s="21">
        <f>NETWORKDAYS.INTL(DATE(2018,1,1),DATE(2018,12,31),1,{"2018/1/1";"2018/3/30";"2018/4/2";"2018/5/1";"2018/5/8";"2018/7/5";"2018/7/6";"2018/09/28";"2018/11/17";"2018/12/24";"2018/12/25";"2018/12/26"})</f>
        <v>250</v>
      </c>
      <c r="T217" s="21">
        <f t="shared" si="17"/>
        <v>115</v>
      </c>
      <c r="U217" s="21">
        <f t="shared" si="18"/>
        <v>365</v>
      </c>
      <c r="V217" s="311">
        <f t="shared" si="19"/>
        <v>300</v>
      </c>
      <c r="W217" s="140">
        <f t="shared" si="20"/>
        <v>0</v>
      </c>
      <c r="X217" s="141">
        <f t="shared" si="21"/>
        <v>0</v>
      </c>
      <c r="Y217" s="141">
        <v>0</v>
      </c>
    </row>
    <row r="218" spans="1:25" ht="15" x14ac:dyDescent="0.2">
      <c r="A218" s="353" t="s">
        <v>767</v>
      </c>
      <c r="B218" s="23" t="s">
        <v>54</v>
      </c>
      <c r="C218" s="23"/>
      <c r="D218" s="139">
        <f>VLOOKUP(C218,'Seznam HS - nemaš'!$A$1:$B$96,2,FALSE)</f>
        <v>0</v>
      </c>
      <c r="E218" s="22" t="s">
        <v>948</v>
      </c>
      <c r="F218" s="30" t="s">
        <v>437</v>
      </c>
      <c r="G218" s="30"/>
      <c r="H218" s="28">
        <f>+IF(ISBLANK(I218),0,VLOOKUP(I218,'8Příloha_2_ceník_pravid_úklid'!$B$9:$C$30,2,0))</f>
        <v>7</v>
      </c>
      <c r="I218" s="143" t="s">
        <v>14</v>
      </c>
      <c r="J218" s="145">
        <v>1.1100000000000001</v>
      </c>
      <c r="K218" s="275" t="s">
        <v>50</v>
      </c>
      <c r="L218" s="156" t="s">
        <v>928</v>
      </c>
      <c r="M218" s="22" t="s">
        <v>49</v>
      </c>
      <c r="N218" s="24">
        <f>IF((VLOOKUP(I218,'8Příloha_2_ceník_pravid_úklid'!$B$9:$I$30,8,0))=0,VLOOKUP(I218,'8Příloha_2_ceník_pravid_úklid'!$B$9:$K$30,10,0),VLOOKUP(I218,'8Příloha_2_ceník_pravid_úklid'!$B$9:$I$30,8,0))</f>
        <v>0</v>
      </c>
      <c r="O218" s="20">
        <v>1</v>
      </c>
      <c r="P218" s="20">
        <f t="shared" si="22"/>
        <v>1.2</v>
      </c>
      <c r="Q218" s="20">
        <v>0</v>
      </c>
      <c r="R218" s="20">
        <v>0</v>
      </c>
      <c r="S218" s="21">
        <f>NETWORKDAYS.INTL(DATE(2018,1,1),DATE(2018,12,31),1,{"2018/1/1";"2018/3/30";"2018/4/2";"2018/5/1";"2018/5/8";"2018/7/5";"2018/7/6";"2018/09/28";"2018/11/17";"2018/12/24";"2018/12/25";"2018/12/26"})</f>
        <v>250</v>
      </c>
      <c r="T218" s="21">
        <f t="shared" si="17"/>
        <v>115</v>
      </c>
      <c r="U218" s="21">
        <f t="shared" si="18"/>
        <v>365</v>
      </c>
      <c r="V218" s="311">
        <f t="shared" si="19"/>
        <v>300</v>
      </c>
      <c r="W218" s="140">
        <f t="shared" si="20"/>
        <v>0</v>
      </c>
      <c r="X218" s="141">
        <f t="shared" si="21"/>
        <v>0</v>
      </c>
      <c r="Y218" s="141">
        <v>0</v>
      </c>
    </row>
    <row r="219" spans="1:25" ht="15" x14ac:dyDescent="0.2">
      <c r="A219" s="276" t="s">
        <v>926</v>
      </c>
      <c r="B219" s="23" t="s">
        <v>54</v>
      </c>
      <c r="C219" s="23" t="s">
        <v>197</v>
      </c>
      <c r="D219" s="139" t="str">
        <f>VLOOKUP(C219,'Seznam HS - nemaš'!$A$1:$B$96,2,FALSE)</f>
        <v>433400</v>
      </c>
      <c r="E219" s="22" t="s">
        <v>949</v>
      </c>
      <c r="F219" s="30" t="s">
        <v>437</v>
      </c>
      <c r="G219" s="30" t="s">
        <v>444</v>
      </c>
      <c r="H219" s="28">
        <f>+IF(ISBLANK(I219),0,VLOOKUP(I219,'8Příloha_2_ceník_pravid_úklid'!$B$9:$C$30,2,0))</f>
        <v>7</v>
      </c>
      <c r="I219" s="143" t="s">
        <v>14</v>
      </c>
      <c r="J219" s="145">
        <v>1.8</v>
      </c>
      <c r="K219" s="275" t="s">
        <v>50</v>
      </c>
      <c r="L219" s="156" t="s">
        <v>928</v>
      </c>
      <c r="M219" s="22" t="s">
        <v>49</v>
      </c>
      <c r="N219" s="24">
        <f>IF((VLOOKUP(I219,'8Příloha_2_ceník_pravid_úklid'!$B$9:$I$30,8,0))=0,VLOOKUP(I219,'8Příloha_2_ceník_pravid_úklid'!$B$9:$K$30,10,0),VLOOKUP(I219,'8Příloha_2_ceník_pravid_úklid'!$B$9:$I$30,8,0))</f>
        <v>0</v>
      </c>
      <c r="O219" s="20">
        <v>1</v>
      </c>
      <c r="P219" s="20">
        <f t="shared" si="22"/>
        <v>1.2</v>
      </c>
      <c r="Q219" s="20">
        <v>0</v>
      </c>
      <c r="R219" s="20">
        <v>0</v>
      </c>
      <c r="S219" s="21">
        <f>NETWORKDAYS.INTL(DATE(2018,1,1),DATE(2018,12,31),1,{"2018/1/1";"2018/3/30";"2018/4/2";"2018/5/1";"2018/5/8";"2018/7/5";"2018/7/6";"2018/09/28";"2018/11/17";"2018/12/24";"2018/12/25";"2018/12/26"})</f>
        <v>250</v>
      </c>
      <c r="T219" s="21">
        <f t="shared" si="17"/>
        <v>115</v>
      </c>
      <c r="U219" s="21">
        <f t="shared" si="18"/>
        <v>365</v>
      </c>
      <c r="V219" s="311">
        <f t="shared" si="19"/>
        <v>300</v>
      </c>
      <c r="W219" s="140">
        <f t="shared" si="20"/>
        <v>0</v>
      </c>
      <c r="X219" s="141">
        <f t="shared" si="21"/>
        <v>0</v>
      </c>
      <c r="Y219" s="141">
        <v>0</v>
      </c>
    </row>
    <row r="220" spans="1:25" ht="15" x14ac:dyDescent="0.2">
      <c r="A220" s="276" t="s">
        <v>926</v>
      </c>
      <c r="B220" s="23" t="s">
        <v>54</v>
      </c>
      <c r="C220" s="23" t="s">
        <v>197</v>
      </c>
      <c r="D220" s="139" t="str">
        <f>VLOOKUP(C220,'Seznam HS - nemaš'!$A$1:$B$96,2,FALSE)</f>
        <v>433400</v>
      </c>
      <c r="E220" s="22" t="s">
        <v>950</v>
      </c>
      <c r="F220" s="30" t="s">
        <v>383</v>
      </c>
      <c r="G220" s="30"/>
      <c r="H220" s="28">
        <f>+IF(ISBLANK(I220),0,VLOOKUP(I220,'8Příloha_2_ceník_pravid_úklid'!$B$9:$C$30,2,0))</f>
        <v>6</v>
      </c>
      <c r="I220" s="143" t="s">
        <v>1</v>
      </c>
      <c r="J220" s="145">
        <v>13.92</v>
      </c>
      <c r="K220" s="275" t="s">
        <v>51</v>
      </c>
      <c r="L220" s="156" t="s">
        <v>928</v>
      </c>
      <c r="M220" s="22" t="s">
        <v>49</v>
      </c>
      <c r="N220" s="24">
        <f>IF((VLOOKUP(I220,'8Příloha_2_ceník_pravid_úklid'!$B$9:$I$30,8,0))=0,VLOOKUP(I220,'8Příloha_2_ceník_pravid_úklid'!$B$9:$K$30,10,0),VLOOKUP(I220,'8Příloha_2_ceník_pravid_úklid'!$B$9:$I$30,8,0))</f>
        <v>0</v>
      </c>
      <c r="O220" s="20">
        <v>1</v>
      </c>
      <c r="P220" s="20">
        <f t="shared" si="22"/>
        <v>1.2</v>
      </c>
      <c r="Q220" s="20">
        <v>0</v>
      </c>
      <c r="R220" s="20">
        <v>0</v>
      </c>
      <c r="S220" s="21">
        <f>NETWORKDAYS.INTL(DATE(2018,1,1),DATE(2018,12,31),1,{"2018/1/1";"2018/3/30";"2018/4/2";"2018/5/1";"2018/5/8";"2018/7/5";"2018/7/6";"2018/09/28";"2018/11/17";"2018/12/24";"2018/12/25";"2018/12/26"})</f>
        <v>250</v>
      </c>
      <c r="T220" s="21">
        <f t="shared" si="17"/>
        <v>115</v>
      </c>
      <c r="U220" s="21">
        <f t="shared" si="18"/>
        <v>365</v>
      </c>
      <c r="V220" s="311">
        <f t="shared" si="19"/>
        <v>300</v>
      </c>
      <c r="W220" s="140">
        <f t="shared" si="20"/>
        <v>0</v>
      </c>
      <c r="X220" s="141">
        <f t="shared" si="21"/>
        <v>0</v>
      </c>
      <c r="Y220" s="141">
        <v>0</v>
      </c>
    </row>
    <row r="221" spans="1:25" ht="15" x14ac:dyDescent="0.2">
      <c r="A221" s="276" t="s">
        <v>926</v>
      </c>
      <c r="B221" s="23" t="s">
        <v>54</v>
      </c>
      <c r="C221" s="23" t="s">
        <v>211</v>
      </c>
      <c r="D221" s="139" t="str">
        <f>VLOOKUP(C221,'Seznam HS - nemaš'!$A$1:$B$96,2,FALSE)</f>
        <v>438400</v>
      </c>
      <c r="E221" s="22" t="s">
        <v>951</v>
      </c>
      <c r="F221" s="30" t="s">
        <v>53</v>
      </c>
      <c r="G221" s="30"/>
      <c r="H221" s="28">
        <f>+IF(ISBLANK(I221),0,VLOOKUP(I221,'8Příloha_2_ceník_pravid_úklid'!$B$9:$C$30,2,0))</f>
        <v>6</v>
      </c>
      <c r="I221" s="143" t="s">
        <v>1</v>
      </c>
      <c r="J221" s="145">
        <v>25.87</v>
      </c>
      <c r="K221" s="275" t="s">
        <v>51</v>
      </c>
      <c r="L221" s="156" t="s">
        <v>928</v>
      </c>
      <c r="M221" s="22" t="s">
        <v>49</v>
      </c>
      <c r="N221" s="24">
        <f>IF((VLOOKUP(I221,'8Příloha_2_ceník_pravid_úklid'!$B$9:$I$30,8,0))=0,VLOOKUP(I221,'8Příloha_2_ceník_pravid_úklid'!$B$9:$K$30,10,0),VLOOKUP(I221,'8Příloha_2_ceník_pravid_úklid'!$B$9:$I$30,8,0))</f>
        <v>0</v>
      </c>
      <c r="O221" s="20">
        <v>1</v>
      </c>
      <c r="P221" s="20">
        <f t="shared" si="22"/>
        <v>1.2</v>
      </c>
      <c r="Q221" s="20">
        <v>0</v>
      </c>
      <c r="R221" s="20">
        <v>0</v>
      </c>
      <c r="S221" s="21">
        <f>NETWORKDAYS.INTL(DATE(2018,1,1),DATE(2018,12,31),1,{"2018/1/1";"2018/3/30";"2018/4/2";"2018/5/1";"2018/5/8";"2018/7/5";"2018/7/6";"2018/09/28";"2018/11/17";"2018/12/24";"2018/12/25";"2018/12/26"})</f>
        <v>250</v>
      </c>
      <c r="T221" s="21">
        <f t="shared" si="17"/>
        <v>115</v>
      </c>
      <c r="U221" s="21">
        <f t="shared" si="18"/>
        <v>365</v>
      </c>
      <c r="V221" s="311">
        <f t="shared" si="19"/>
        <v>300</v>
      </c>
      <c r="W221" s="140">
        <f t="shared" si="20"/>
        <v>0</v>
      </c>
      <c r="X221" s="141">
        <f t="shared" si="21"/>
        <v>0</v>
      </c>
      <c r="Y221" s="141">
        <v>0</v>
      </c>
    </row>
    <row r="222" spans="1:25" ht="15" x14ac:dyDescent="0.2">
      <c r="A222" s="235" t="s">
        <v>762</v>
      </c>
      <c r="B222" s="236" t="s">
        <v>54</v>
      </c>
      <c r="C222" s="236"/>
      <c r="D222" s="535">
        <f>VLOOKUP(C222,'Seznam HS - nemaš'!$A$1:$B$96,2,FALSE)</f>
        <v>0</v>
      </c>
      <c r="E222" s="237" t="s">
        <v>952</v>
      </c>
      <c r="F222" s="303" t="s">
        <v>766</v>
      </c>
      <c r="G222" s="303"/>
      <c r="H222" s="224">
        <f>+IF(ISBLANK(I222),0,VLOOKUP(I222,'8Příloha_2_ceník_pravid_úklid'!$B$9:$C$30,2,0))</f>
        <v>0</v>
      </c>
      <c r="I222" s="273"/>
      <c r="J222" s="241">
        <v>6.98</v>
      </c>
      <c r="K222" s="240"/>
      <c r="L222" s="242" t="s">
        <v>387</v>
      </c>
      <c r="M222" s="237"/>
      <c r="N222" s="229" t="s">
        <v>501</v>
      </c>
      <c r="O222" s="230">
        <v>0</v>
      </c>
      <c r="P222" s="230">
        <v>0</v>
      </c>
      <c r="Q222" s="230">
        <v>0</v>
      </c>
      <c r="R222" s="230">
        <v>0</v>
      </c>
      <c r="S222" s="231">
        <f>NETWORKDAYS.INTL(DATE(2018,1,1),DATE(2018,12,31),1,{"2018/1/1";"2018/3/30";"2018/4/2";"2018/5/1";"2018/5/8";"2018/7/5";"2018/7/6";"2018/09/28";"2018/11/17";"2018/12/24";"2018/12/25";"2018/12/26"})</f>
        <v>250</v>
      </c>
      <c r="T222" s="231">
        <f t="shared" si="17"/>
        <v>115</v>
      </c>
      <c r="U222" s="231">
        <f t="shared" si="18"/>
        <v>365</v>
      </c>
      <c r="V222" s="312">
        <f t="shared" si="19"/>
        <v>0</v>
      </c>
      <c r="W222" s="233">
        <f t="shared" si="20"/>
        <v>0</v>
      </c>
      <c r="X222" s="234">
        <f t="shared" si="21"/>
        <v>0</v>
      </c>
      <c r="Y222" s="234">
        <f t="shared" si="21"/>
        <v>0</v>
      </c>
    </row>
    <row r="223" spans="1:25" ht="15" x14ac:dyDescent="0.2">
      <c r="A223" s="235" t="s">
        <v>762</v>
      </c>
      <c r="B223" s="236" t="s">
        <v>54</v>
      </c>
      <c r="C223" s="236"/>
      <c r="D223" s="535">
        <f>VLOOKUP(C223,'Seznam HS - nemaš'!$A$1:$B$96,2,FALSE)</f>
        <v>0</v>
      </c>
      <c r="E223" s="237" t="s">
        <v>953</v>
      </c>
      <c r="F223" s="303" t="s">
        <v>764</v>
      </c>
      <c r="G223" s="303"/>
      <c r="H223" s="224">
        <f>+IF(ISBLANK(I223),0,VLOOKUP(I223,'8Příloha_2_ceník_pravid_úklid'!$B$9:$C$30,2,0))</f>
        <v>0</v>
      </c>
      <c r="I223" s="273"/>
      <c r="J223" s="241">
        <v>4.67</v>
      </c>
      <c r="K223" s="240"/>
      <c r="L223" s="242" t="s">
        <v>387</v>
      </c>
      <c r="M223" s="237"/>
      <c r="N223" s="229" t="s">
        <v>501</v>
      </c>
      <c r="O223" s="230">
        <v>0</v>
      </c>
      <c r="P223" s="230">
        <v>0</v>
      </c>
      <c r="Q223" s="230">
        <v>0</v>
      </c>
      <c r="R223" s="230">
        <v>0</v>
      </c>
      <c r="S223" s="231">
        <f>NETWORKDAYS.INTL(DATE(2018,1,1),DATE(2018,12,31),1,{"2018/1/1";"2018/3/30";"2018/4/2";"2018/5/1";"2018/5/8";"2018/7/5";"2018/7/6";"2018/09/28";"2018/11/17";"2018/12/24";"2018/12/25";"2018/12/26"})</f>
        <v>250</v>
      </c>
      <c r="T223" s="231">
        <f t="shared" si="17"/>
        <v>115</v>
      </c>
      <c r="U223" s="231">
        <f t="shared" si="18"/>
        <v>365</v>
      </c>
      <c r="V223" s="312">
        <f t="shared" si="19"/>
        <v>0</v>
      </c>
      <c r="W223" s="233">
        <f t="shared" si="20"/>
        <v>0</v>
      </c>
      <c r="X223" s="234">
        <f t="shared" si="21"/>
        <v>0</v>
      </c>
      <c r="Y223" s="234">
        <f t="shared" si="21"/>
        <v>0</v>
      </c>
    </row>
    <row r="224" spans="1:25" ht="15" x14ac:dyDescent="0.2">
      <c r="A224" s="353" t="s">
        <v>767</v>
      </c>
      <c r="B224" s="23" t="s">
        <v>54</v>
      </c>
      <c r="C224" s="23"/>
      <c r="D224" s="139">
        <f>VLOOKUP(C224,'Seznam HS - nemaš'!$A$1:$B$96,2,FALSE)</f>
        <v>0</v>
      </c>
      <c r="E224" s="22" t="s">
        <v>954</v>
      </c>
      <c r="F224" s="30" t="s">
        <v>350</v>
      </c>
      <c r="G224" s="30" t="s">
        <v>955</v>
      </c>
      <c r="H224" s="28">
        <f>+IF(ISBLANK(I224),0,VLOOKUP(I224,'8Příloha_2_ceník_pravid_úklid'!$B$9:$C$30,2,0))</f>
        <v>6</v>
      </c>
      <c r="I224" s="143" t="s">
        <v>1</v>
      </c>
      <c r="J224" s="145">
        <v>17.670000000000002</v>
      </c>
      <c r="K224" s="275" t="s">
        <v>50</v>
      </c>
      <c r="L224" s="30" t="s">
        <v>956</v>
      </c>
      <c r="M224" s="22" t="s">
        <v>49</v>
      </c>
      <c r="N224" s="24">
        <f>IF((VLOOKUP(I224,'8Příloha_2_ceník_pravid_úklid'!$B$9:$I$30,8,0))=0,VLOOKUP(I224,'8Příloha_2_ceník_pravid_úklid'!$B$9:$K$30,10,0),VLOOKUP(I224,'8Příloha_2_ceník_pravid_úklid'!$B$9:$I$30,8,0))</f>
        <v>0</v>
      </c>
      <c r="O224" s="20">
        <v>2</v>
      </c>
      <c r="P224" s="20">
        <v>1</v>
      </c>
      <c r="Q224" s="20">
        <v>1</v>
      </c>
      <c r="R224" s="20">
        <v>1</v>
      </c>
      <c r="S224" s="21">
        <f>NETWORKDAYS.INTL(DATE(2018,1,1),DATE(2018,12,31),1,{"2018/1/1";"2018/3/30";"2018/4/2";"2018/5/1";"2018/5/8";"2018/7/5";"2018/7/6";"2018/09/28";"2018/11/17";"2018/12/24";"2018/12/25";"2018/12/26"})</f>
        <v>250</v>
      </c>
      <c r="T224" s="21">
        <f t="shared" si="17"/>
        <v>115</v>
      </c>
      <c r="U224" s="21">
        <f t="shared" si="18"/>
        <v>365</v>
      </c>
      <c r="V224" s="311">
        <f t="shared" si="19"/>
        <v>615</v>
      </c>
      <c r="W224" s="140">
        <f t="shared" si="20"/>
        <v>0</v>
      </c>
      <c r="X224" s="141">
        <f t="shared" si="21"/>
        <v>0</v>
      </c>
      <c r="Y224" s="141">
        <v>0</v>
      </c>
    </row>
    <row r="225" spans="1:25" ht="15" x14ac:dyDescent="0.2">
      <c r="A225" s="353" t="s">
        <v>767</v>
      </c>
      <c r="B225" s="23" t="s">
        <v>54</v>
      </c>
      <c r="C225" s="23"/>
      <c r="D225" s="139">
        <f>VLOOKUP(C225,'Seznam HS - nemaš'!$A$1:$B$96,2,FALSE)</f>
        <v>0</v>
      </c>
      <c r="E225" s="22" t="s">
        <v>957</v>
      </c>
      <c r="F225" s="30" t="s">
        <v>769</v>
      </c>
      <c r="G225" s="30" t="s">
        <v>770</v>
      </c>
      <c r="H225" s="28">
        <f>+IF(ISBLANK(I225),0,VLOOKUP(I225,'8Příloha_2_ceník_pravid_úklid'!$B$9:$C$30,2,0))</f>
        <v>6</v>
      </c>
      <c r="I225" s="143" t="s">
        <v>1</v>
      </c>
      <c r="J225" s="145">
        <v>30.07</v>
      </c>
      <c r="K225" s="275" t="s">
        <v>50</v>
      </c>
      <c r="L225" s="30" t="s">
        <v>956</v>
      </c>
      <c r="M225" s="22" t="s">
        <v>771</v>
      </c>
      <c r="N225" s="24">
        <f>IF((VLOOKUP(I225,'8Příloha_2_ceník_pravid_úklid'!$B$9:$I$30,8,0))=0,VLOOKUP(I225,'8Příloha_2_ceník_pravid_úklid'!$B$9:$K$30,10,0),VLOOKUP(I225,'8Příloha_2_ceník_pravid_úklid'!$B$9:$I$30,8,0))</f>
        <v>0</v>
      </c>
      <c r="O225" s="20">
        <v>2</v>
      </c>
      <c r="P225" s="20">
        <v>1</v>
      </c>
      <c r="Q225" s="20">
        <v>1</v>
      </c>
      <c r="R225" s="20">
        <v>1</v>
      </c>
      <c r="S225" s="21">
        <f>NETWORKDAYS.INTL(DATE(2018,1,1),DATE(2018,12,31),1,{"2018/1/1";"2018/3/30";"2018/4/2";"2018/5/1";"2018/5/8";"2018/7/5";"2018/7/6";"2018/09/28";"2018/11/17";"2018/12/24";"2018/12/25";"2018/12/26"})</f>
        <v>250</v>
      </c>
      <c r="T225" s="21">
        <f t="shared" si="17"/>
        <v>115</v>
      </c>
      <c r="U225" s="21">
        <f t="shared" si="18"/>
        <v>365</v>
      </c>
      <c r="V225" s="311">
        <f t="shared" si="19"/>
        <v>615</v>
      </c>
      <c r="W225" s="140">
        <f t="shared" si="20"/>
        <v>0</v>
      </c>
      <c r="X225" s="141">
        <f t="shared" si="21"/>
        <v>0</v>
      </c>
      <c r="Y225" s="141">
        <v>0</v>
      </c>
    </row>
    <row r="226" spans="1:25" ht="15" x14ac:dyDescent="0.2">
      <c r="A226" s="353" t="s">
        <v>767</v>
      </c>
      <c r="B226" s="23" t="s">
        <v>54</v>
      </c>
      <c r="C226" s="23"/>
      <c r="D226" s="139">
        <f>VLOOKUP(C226,'Seznam HS - nemaš'!$A$1:$B$96,2,FALSE)</f>
        <v>0</v>
      </c>
      <c r="E226" s="22" t="s">
        <v>958</v>
      </c>
      <c r="F226" s="30" t="s">
        <v>53</v>
      </c>
      <c r="G226" s="30" t="s">
        <v>959</v>
      </c>
      <c r="H226" s="28">
        <f>+IF(ISBLANK(I226),0,VLOOKUP(I226,'8Příloha_2_ceník_pravid_úklid'!$B$9:$C$30,2,0))</f>
        <v>6</v>
      </c>
      <c r="I226" s="143" t="s">
        <v>1</v>
      </c>
      <c r="J226" s="145">
        <v>74.62</v>
      </c>
      <c r="K226" s="275" t="s">
        <v>50</v>
      </c>
      <c r="L226" s="30" t="s">
        <v>956</v>
      </c>
      <c r="M226" s="22" t="s">
        <v>771</v>
      </c>
      <c r="N226" s="24">
        <f>IF((VLOOKUP(I226,'8Příloha_2_ceník_pravid_úklid'!$B$9:$I$30,8,0))=0,VLOOKUP(I226,'8Příloha_2_ceník_pravid_úklid'!$B$9:$K$30,10,0),VLOOKUP(I226,'8Příloha_2_ceník_pravid_úklid'!$B$9:$I$30,8,0))</f>
        <v>0</v>
      </c>
      <c r="O226" s="20">
        <v>2</v>
      </c>
      <c r="P226" s="20">
        <v>1</v>
      </c>
      <c r="Q226" s="20">
        <v>1</v>
      </c>
      <c r="R226" s="20">
        <v>1</v>
      </c>
      <c r="S226" s="21">
        <f>NETWORKDAYS.INTL(DATE(2018,1,1),DATE(2018,12,31),1,{"2018/1/1";"2018/3/30";"2018/4/2";"2018/5/1";"2018/5/8";"2018/7/5";"2018/7/6";"2018/09/28";"2018/11/17";"2018/12/24";"2018/12/25";"2018/12/26"})</f>
        <v>250</v>
      </c>
      <c r="T226" s="21">
        <f t="shared" si="17"/>
        <v>115</v>
      </c>
      <c r="U226" s="21">
        <f t="shared" si="18"/>
        <v>365</v>
      </c>
      <c r="V226" s="311">
        <f t="shared" si="19"/>
        <v>615</v>
      </c>
      <c r="W226" s="140">
        <f t="shared" si="20"/>
        <v>0</v>
      </c>
      <c r="X226" s="141">
        <f t="shared" si="21"/>
        <v>0</v>
      </c>
      <c r="Y226" s="141">
        <v>0</v>
      </c>
    </row>
    <row r="227" spans="1:25" ht="15" x14ac:dyDescent="0.2">
      <c r="A227" s="353" t="s">
        <v>767</v>
      </c>
      <c r="B227" s="23" t="s">
        <v>54</v>
      </c>
      <c r="C227" s="23"/>
      <c r="D227" s="139">
        <f>VLOOKUP(C227,'Seznam HS - nemaš'!$A$1:$B$96,2,FALSE)</f>
        <v>0</v>
      </c>
      <c r="E227" s="22" t="s">
        <v>960</v>
      </c>
      <c r="F227" s="30" t="s">
        <v>336</v>
      </c>
      <c r="G227" s="30"/>
      <c r="H227" s="28">
        <f>+IF(ISBLANK(I227),0,VLOOKUP(I227,'8Příloha_2_ceník_pravid_úklid'!$B$9:$C$30,2,0))</f>
        <v>8</v>
      </c>
      <c r="I227" s="143" t="s">
        <v>11</v>
      </c>
      <c r="J227" s="145">
        <v>10.23</v>
      </c>
      <c r="K227" s="275" t="s">
        <v>64</v>
      </c>
      <c r="L227" s="30" t="s">
        <v>956</v>
      </c>
      <c r="M227" s="22" t="s">
        <v>49</v>
      </c>
      <c r="N227" s="24">
        <f>IF((VLOOKUP(I227,'8Příloha_2_ceník_pravid_úklid'!$B$9:$I$30,8,0))=0,VLOOKUP(I227,'8Příloha_2_ceník_pravid_úklid'!$B$9:$K$30,10,0),VLOOKUP(I227,'8Příloha_2_ceník_pravid_úklid'!$B$9:$I$30,8,0))</f>
        <v>0</v>
      </c>
      <c r="O227" s="20">
        <v>2</v>
      </c>
      <c r="P227" s="20">
        <v>1</v>
      </c>
      <c r="Q227" s="20">
        <v>1</v>
      </c>
      <c r="R227" s="20">
        <v>1</v>
      </c>
      <c r="S227" s="21">
        <f>NETWORKDAYS.INTL(DATE(2018,1,1),DATE(2018,12,31),1,{"2018/1/1";"2018/3/30";"2018/4/2";"2018/5/1";"2018/5/8";"2018/7/5";"2018/7/6";"2018/09/28";"2018/11/17";"2018/12/24";"2018/12/25";"2018/12/26"})</f>
        <v>250</v>
      </c>
      <c r="T227" s="21">
        <f t="shared" si="17"/>
        <v>115</v>
      </c>
      <c r="U227" s="21">
        <f t="shared" si="18"/>
        <v>365</v>
      </c>
      <c r="V227" s="311">
        <f t="shared" si="19"/>
        <v>615</v>
      </c>
      <c r="W227" s="140">
        <f t="shared" si="20"/>
        <v>0</v>
      </c>
      <c r="X227" s="141">
        <f t="shared" si="21"/>
        <v>0</v>
      </c>
      <c r="Y227" s="141">
        <v>0</v>
      </c>
    </row>
    <row r="228" spans="1:25" ht="15" x14ac:dyDescent="0.2">
      <c r="A228" s="374" t="s">
        <v>678</v>
      </c>
      <c r="B228" s="236" t="s">
        <v>54</v>
      </c>
      <c r="C228" s="236" t="s">
        <v>179</v>
      </c>
      <c r="D228" s="535" t="str">
        <f>VLOOKUP(C228,'Seznam HS - nemaš'!$A$1:$B$96,2,FALSE)</f>
        <v>417200</v>
      </c>
      <c r="E228" s="237" t="s">
        <v>961</v>
      </c>
      <c r="F228" s="303" t="s">
        <v>962</v>
      </c>
      <c r="G228" s="303"/>
      <c r="H228" s="224">
        <f>+IF(ISBLANK(I228),0,VLOOKUP(I228,'8Příloha_2_ceník_pravid_úklid'!$B$9:$C$30,2,0))</f>
        <v>7</v>
      </c>
      <c r="I228" s="273" t="s">
        <v>14</v>
      </c>
      <c r="J228" s="241">
        <v>10.44</v>
      </c>
      <c r="K228" s="240" t="s">
        <v>50</v>
      </c>
      <c r="L228" s="242" t="s">
        <v>963</v>
      </c>
      <c r="M228" s="237" t="s">
        <v>49</v>
      </c>
      <c r="N228" s="229" t="s">
        <v>501</v>
      </c>
      <c r="O228" s="230">
        <v>0</v>
      </c>
      <c r="P228" s="230">
        <v>0</v>
      </c>
      <c r="Q228" s="230">
        <v>0</v>
      </c>
      <c r="R228" s="230">
        <v>0</v>
      </c>
      <c r="S228" s="231">
        <f>NETWORKDAYS.INTL(DATE(2018,1,1),DATE(2018,12,31),1,{"2018/1/1";"2018/3/30";"2018/4/2";"2018/5/1";"2018/5/8";"2018/7/5";"2018/7/6";"2018/09/28";"2018/11/17";"2018/12/24";"2018/12/25";"2018/12/26"})</f>
        <v>250</v>
      </c>
      <c r="T228" s="231">
        <f t="shared" si="17"/>
        <v>115</v>
      </c>
      <c r="U228" s="231">
        <f t="shared" si="18"/>
        <v>365</v>
      </c>
      <c r="V228" s="312">
        <f t="shared" si="19"/>
        <v>0</v>
      </c>
      <c r="W228" s="233">
        <f t="shared" si="20"/>
        <v>0</v>
      </c>
      <c r="X228" s="234">
        <f t="shared" si="21"/>
        <v>0</v>
      </c>
      <c r="Y228" s="141">
        <v>0</v>
      </c>
    </row>
    <row r="229" spans="1:25" ht="15" x14ac:dyDescent="0.2">
      <c r="A229" s="374" t="s">
        <v>678</v>
      </c>
      <c r="B229" s="236" t="s">
        <v>54</v>
      </c>
      <c r="C229" s="236" t="s">
        <v>179</v>
      </c>
      <c r="D229" s="535" t="str">
        <f>VLOOKUP(C229,'Seznam HS - nemaš'!$A$1:$B$96,2,FALSE)</f>
        <v>417200</v>
      </c>
      <c r="E229" s="237" t="s">
        <v>964</v>
      </c>
      <c r="F229" s="303" t="s">
        <v>446</v>
      </c>
      <c r="G229" s="303"/>
      <c r="H229" s="224">
        <f>+IF(ISBLANK(I229),0,VLOOKUP(I229,'8Příloha_2_ceník_pravid_úklid'!$B$9:$C$30,2,0))</f>
        <v>7</v>
      </c>
      <c r="I229" s="273" t="s">
        <v>14</v>
      </c>
      <c r="J229" s="241">
        <v>8.2899999999999991</v>
      </c>
      <c r="K229" s="240" t="s">
        <v>50</v>
      </c>
      <c r="L229" s="242" t="s">
        <v>965</v>
      </c>
      <c r="M229" s="237" t="s">
        <v>49</v>
      </c>
      <c r="N229" s="229" t="s">
        <v>501</v>
      </c>
      <c r="O229" s="230">
        <v>0</v>
      </c>
      <c r="P229" s="230">
        <v>0</v>
      </c>
      <c r="Q229" s="230">
        <v>0</v>
      </c>
      <c r="R229" s="230">
        <v>0</v>
      </c>
      <c r="S229" s="231">
        <f>NETWORKDAYS.INTL(DATE(2018,1,1),DATE(2018,12,31),1,{"2018/1/1";"2018/3/30";"2018/4/2";"2018/5/1";"2018/5/8";"2018/7/5";"2018/7/6";"2018/09/28";"2018/11/17";"2018/12/24";"2018/12/25";"2018/12/26"})</f>
        <v>250</v>
      </c>
      <c r="T229" s="231">
        <f t="shared" si="17"/>
        <v>115</v>
      </c>
      <c r="U229" s="231">
        <f t="shared" si="18"/>
        <v>365</v>
      </c>
      <c r="V229" s="312">
        <f t="shared" si="19"/>
        <v>0</v>
      </c>
      <c r="W229" s="233">
        <f t="shared" si="20"/>
        <v>0</v>
      </c>
      <c r="X229" s="234">
        <f t="shared" si="21"/>
        <v>0</v>
      </c>
      <c r="Y229" s="141">
        <v>0</v>
      </c>
    </row>
    <row r="230" spans="1:25" ht="15" x14ac:dyDescent="0.2">
      <c r="A230" s="374" t="s">
        <v>678</v>
      </c>
      <c r="B230" s="236" t="s">
        <v>54</v>
      </c>
      <c r="C230" s="236" t="s">
        <v>179</v>
      </c>
      <c r="D230" s="535" t="str">
        <f>VLOOKUP(C230,'Seznam HS - nemaš'!$A$1:$B$96,2,FALSE)</f>
        <v>417200</v>
      </c>
      <c r="E230" s="237" t="s">
        <v>966</v>
      </c>
      <c r="F230" s="303" t="s">
        <v>552</v>
      </c>
      <c r="G230" s="303"/>
      <c r="H230" s="224">
        <f>+IF(ISBLANK(I230),0,VLOOKUP(I230,'8Příloha_2_ceník_pravid_úklid'!$B$9:$C$30,2,0))</f>
        <v>16</v>
      </c>
      <c r="I230" s="273" t="s">
        <v>6</v>
      </c>
      <c r="J230" s="241">
        <v>6.12</v>
      </c>
      <c r="K230" s="240" t="s">
        <v>50</v>
      </c>
      <c r="L230" s="242" t="s">
        <v>965</v>
      </c>
      <c r="M230" s="237" t="s">
        <v>49</v>
      </c>
      <c r="N230" s="229" t="s">
        <v>501</v>
      </c>
      <c r="O230" s="230">
        <v>0</v>
      </c>
      <c r="P230" s="230">
        <v>0</v>
      </c>
      <c r="Q230" s="230">
        <v>0</v>
      </c>
      <c r="R230" s="230">
        <v>0</v>
      </c>
      <c r="S230" s="231">
        <f>NETWORKDAYS.INTL(DATE(2018,1,1),DATE(2018,12,31),1,{"2018/1/1";"2018/3/30";"2018/4/2";"2018/5/1";"2018/5/8";"2018/7/5";"2018/7/6";"2018/09/28";"2018/11/17";"2018/12/24";"2018/12/25";"2018/12/26"})</f>
        <v>250</v>
      </c>
      <c r="T230" s="231">
        <f t="shared" si="17"/>
        <v>115</v>
      </c>
      <c r="U230" s="231">
        <f t="shared" si="18"/>
        <v>365</v>
      </c>
      <c r="V230" s="312">
        <f t="shared" si="19"/>
        <v>0</v>
      </c>
      <c r="W230" s="233">
        <f t="shared" si="20"/>
        <v>0</v>
      </c>
      <c r="X230" s="234">
        <f t="shared" si="21"/>
        <v>0</v>
      </c>
      <c r="Y230" s="141">
        <v>0</v>
      </c>
    </row>
    <row r="231" spans="1:25" ht="15" x14ac:dyDescent="0.2">
      <c r="A231" s="374" t="s">
        <v>678</v>
      </c>
      <c r="B231" s="236" t="s">
        <v>54</v>
      </c>
      <c r="C231" s="236" t="s">
        <v>179</v>
      </c>
      <c r="D231" s="535" t="str">
        <f>VLOOKUP(C231,'Seznam HS - nemaš'!$A$1:$B$96,2,FALSE)</f>
        <v>417200</v>
      </c>
      <c r="E231" s="237" t="s">
        <v>967</v>
      </c>
      <c r="F231" s="303" t="s">
        <v>968</v>
      </c>
      <c r="G231" s="303" t="s">
        <v>969</v>
      </c>
      <c r="H231" s="224">
        <f>+IF(ISBLANK(I231),0,VLOOKUP(I231,'8Příloha_2_ceník_pravid_úklid'!$B$9:$C$30,2,0))</f>
        <v>19</v>
      </c>
      <c r="I231" s="273" t="s">
        <v>91</v>
      </c>
      <c r="J231" s="241">
        <v>12.88</v>
      </c>
      <c r="K231" s="240" t="s">
        <v>51</v>
      </c>
      <c r="L231" s="242" t="s">
        <v>970</v>
      </c>
      <c r="M231" s="237" t="s">
        <v>49</v>
      </c>
      <c r="N231" s="229" t="s">
        <v>501</v>
      </c>
      <c r="O231" s="230">
        <v>0</v>
      </c>
      <c r="P231" s="230">
        <v>0</v>
      </c>
      <c r="Q231" s="230">
        <v>0</v>
      </c>
      <c r="R231" s="230">
        <v>0</v>
      </c>
      <c r="S231" s="231">
        <f>NETWORKDAYS.INTL(DATE(2018,1,1),DATE(2018,12,31),1,{"2018/1/1";"2018/3/30";"2018/4/2";"2018/5/1";"2018/5/8";"2018/7/5";"2018/7/6";"2018/09/28";"2018/11/17";"2018/12/24";"2018/12/25";"2018/12/26"})</f>
        <v>250</v>
      </c>
      <c r="T231" s="231">
        <f t="shared" si="17"/>
        <v>115</v>
      </c>
      <c r="U231" s="231">
        <f t="shared" si="18"/>
        <v>365</v>
      </c>
      <c r="V231" s="312">
        <f t="shared" si="19"/>
        <v>0</v>
      </c>
      <c r="W231" s="233">
        <f t="shared" si="20"/>
        <v>0</v>
      </c>
      <c r="X231" s="234">
        <f t="shared" si="21"/>
        <v>0</v>
      </c>
      <c r="Y231" s="141">
        <v>0</v>
      </c>
    </row>
    <row r="232" spans="1:25" ht="15" x14ac:dyDescent="0.2">
      <c r="A232" s="374" t="s">
        <v>678</v>
      </c>
      <c r="B232" s="236" t="s">
        <v>54</v>
      </c>
      <c r="C232" s="236" t="s">
        <v>179</v>
      </c>
      <c r="D232" s="535" t="str">
        <f>VLOOKUP(C232,'Seznam HS - nemaš'!$A$1:$B$96,2,FALSE)</f>
        <v>417200</v>
      </c>
      <c r="E232" s="237" t="s">
        <v>971</v>
      </c>
      <c r="F232" s="303" t="s">
        <v>968</v>
      </c>
      <c r="G232" s="303" t="s">
        <v>972</v>
      </c>
      <c r="H232" s="224">
        <f>+IF(ISBLANK(I232),0,VLOOKUP(I232,'8Příloha_2_ceník_pravid_úklid'!$B$9:$C$30,2,0))</f>
        <v>12</v>
      </c>
      <c r="I232" s="273" t="s">
        <v>4</v>
      </c>
      <c r="J232" s="241">
        <v>67.92</v>
      </c>
      <c r="K232" s="240" t="s">
        <v>51</v>
      </c>
      <c r="L232" s="242" t="s">
        <v>970</v>
      </c>
      <c r="M232" s="237" t="s">
        <v>49</v>
      </c>
      <c r="N232" s="229" t="s">
        <v>501</v>
      </c>
      <c r="O232" s="230">
        <v>0</v>
      </c>
      <c r="P232" s="230">
        <v>0</v>
      </c>
      <c r="Q232" s="230">
        <v>0</v>
      </c>
      <c r="R232" s="230">
        <v>0</v>
      </c>
      <c r="S232" s="231">
        <f>NETWORKDAYS.INTL(DATE(2018,1,1),DATE(2018,12,31),1,{"2018/1/1";"2018/3/30";"2018/4/2";"2018/5/1";"2018/5/8";"2018/7/5";"2018/7/6";"2018/09/28";"2018/11/17";"2018/12/24";"2018/12/25";"2018/12/26"})</f>
        <v>250</v>
      </c>
      <c r="T232" s="231">
        <f t="shared" si="17"/>
        <v>115</v>
      </c>
      <c r="U232" s="231">
        <f t="shared" si="18"/>
        <v>365</v>
      </c>
      <c r="V232" s="312">
        <f t="shared" si="19"/>
        <v>0</v>
      </c>
      <c r="W232" s="233">
        <f t="shared" si="20"/>
        <v>0</v>
      </c>
      <c r="X232" s="234">
        <f t="shared" si="21"/>
        <v>0</v>
      </c>
      <c r="Y232" s="141">
        <v>0</v>
      </c>
    </row>
    <row r="233" spans="1:25" ht="15" x14ac:dyDescent="0.2">
      <c r="A233" s="374" t="s">
        <v>678</v>
      </c>
      <c r="B233" s="236" t="s">
        <v>54</v>
      </c>
      <c r="C233" s="236" t="s">
        <v>179</v>
      </c>
      <c r="D233" s="535" t="str">
        <f>VLOOKUP(C233,'Seznam HS - nemaš'!$A$1:$B$96,2,FALSE)</f>
        <v>417200</v>
      </c>
      <c r="E233" s="237" t="s">
        <v>973</v>
      </c>
      <c r="F233" s="303" t="s">
        <v>477</v>
      </c>
      <c r="G233" s="303"/>
      <c r="H233" s="224">
        <f>+IF(ISBLANK(I233),0,VLOOKUP(I233,'8Příloha_2_ceník_pravid_úklid'!$B$9:$C$30,2,0))</f>
        <v>7</v>
      </c>
      <c r="I233" s="273" t="s">
        <v>14</v>
      </c>
      <c r="J233" s="241">
        <v>1.88</v>
      </c>
      <c r="K233" s="240" t="s">
        <v>50</v>
      </c>
      <c r="L233" s="242" t="s">
        <v>647</v>
      </c>
      <c r="M233" s="237" t="s">
        <v>49</v>
      </c>
      <c r="N233" s="229" t="s">
        <v>501</v>
      </c>
      <c r="O233" s="230">
        <v>0</v>
      </c>
      <c r="P233" s="230">
        <v>0</v>
      </c>
      <c r="Q233" s="230">
        <v>0</v>
      </c>
      <c r="R233" s="230">
        <v>0</v>
      </c>
      <c r="S233" s="231">
        <f>NETWORKDAYS.INTL(DATE(2018,1,1),DATE(2018,12,31),1,{"2018/1/1";"2018/3/30";"2018/4/2";"2018/5/1";"2018/5/8";"2018/7/5";"2018/7/6";"2018/09/28";"2018/11/17";"2018/12/24";"2018/12/25";"2018/12/26"})</f>
        <v>250</v>
      </c>
      <c r="T233" s="231">
        <f t="shared" si="17"/>
        <v>115</v>
      </c>
      <c r="U233" s="231">
        <f t="shared" si="18"/>
        <v>365</v>
      </c>
      <c r="V233" s="312">
        <f t="shared" si="19"/>
        <v>0</v>
      </c>
      <c r="W233" s="233">
        <f t="shared" si="20"/>
        <v>0</v>
      </c>
      <c r="X233" s="234">
        <f t="shared" si="21"/>
        <v>0</v>
      </c>
      <c r="Y233" s="141">
        <v>0</v>
      </c>
    </row>
    <row r="234" spans="1:25" ht="15" x14ac:dyDescent="0.2">
      <c r="A234" s="374" t="s">
        <v>678</v>
      </c>
      <c r="B234" s="236" t="s">
        <v>54</v>
      </c>
      <c r="C234" s="236" t="s">
        <v>179</v>
      </c>
      <c r="D234" s="535" t="str">
        <f>VLOOKUP(C234,'Seznam HS - nemaš'!$A$1:$B$96,2,FALSE)</f>
        <v>417200</v>
      </c>
      <c r="E234" s="237" t="s">
        <v>974</v>
      </c>
      <c r="F234" s="303" t="s">
        <v>437</v>
      </c>
      <c r="G234" s="303"/>
      <c r="H234" s="224">
        <f>+IF(ISBLANK(I234),0,VLOOKUP(I234,'8Příloha_2_ceník_pravid_úklid'!$B$9:$C$30,2,0))</f>
        <v>7</v>
      </c>
      <c r="I234" s="273" t="s">
        <v>14</v>
      </c>
      <c r="J234" s="241">
        <v>1.89</v>
      </c>
      <c r="K234" s="240" t="s">
        <v>50</v>
      </c>
      <c r="L234" s="242" t="s">
        <v>647</v>
      </c>
      <c r="M234" s="237" t="s">
        <v>49</v>
      </c>
      <c r="N234" s="229" t="s">
        <v>501</v>
      </c>
      <c r="O234" s="230">
        <v>0</v>
      </c>
      <c r="P234" s="230">
        <v>0</v>
      </c>
      <c r="Q234" s="230">
        <v>0</v>
      </c>
      <c r="R234" s="230">
        <v>0</v>
      </c>
      <c r="S234" s="231">
        <f>NETWORKDAYS.INTL(DATE(2018,1,1),DATE(2018,12,31),1,{"2018/1/1";"2018/3/30";"2018/4/2";"2018/5/1";"2018/5/8";"2018/7/5";"2018/7/6";"2018/09/28";"2018/11/17";"2018/12/24";"2018/12/25";"2018/12/26"})</f>
        <v>250</v>
      </c>
      <c r="T234" s="231">
        <f t="shared" si="17"/>
        <v>115</v>
      </c>
      <c r="U234" s="231">
        <f t="shared" si="18"/>
        <v>365</v>
      </c>
      <c r="V234" s="312">
        <f t="shared" si="19"/>
        <v>0</v>
      </c>
      <c r="W234" s="233">
        <f t="shared" si="20"/>
        <v>0</v>
      </c>
      <c r="X234" s="234">
        <f t="shared" si="21"/>
        <v>0</v>
      </c>
      <c r="Y234" s="141">
        <v>0</v>
      </c>
    </row>
    <row r="235" spans="1:25" ht="15" x14ac:dyDescent="0.2">
      <c r="A235" s="374" t="s">
        <v>678</v>
      </c>
      <c r="B235" s="236" t="s">
        <v>54</v>
      </c>
      <c r="C235" s="236" t="s">
        <v>179</v>
      </c>
      <c r="D235" s="535" t="str">
        <f>VLOOKUP(C235,'Seznam HS - nemaš'!$A$1:$B$96,2,FALSE)</f>
        <v>417200</v>
      </c>
      <c r="E235" s="237" t="s">
        <v>975</v>
      </c>
      <c r="F235" s="303" t="s">
        <v>437</v>
      </c>
      <c r="G235" s="303"/>
      <c r="H235" s="224">
        <f>+IF(ISBLANK(I235),0,VLOOKUP(I235,'8Příloha_2_ceník_pravid_úklid'!$B$9:$C$30,2,0))</f>
        <v>7</v>
      </c>
      <c r="I235" s="273" t="s">
        <v>14</v>
      </c>
      <c r="J235" s="241">
        <v>1.36</v>
      </c>
      <c r="K235" s="240" t="s">
        <v>50</v>
      </c>
      <c r="L235" s="242" t="s">
        <v>647</v>
      </c>
      <c r="M235" s="237" t="s">
        <v>49</v>
      </c>
      <c r="N235" s="229" t="s">
        <v>501</v>
      </c>
      <c r="O235" s="230">
        <v>0</v>
      </c>
      <c r="P235" s="230">
        <v>0</v>
      </c>
      <c r="Q235" s="230">
        <v>0</v>
      </c>
      <c r="R235" s="230">
        <v>0</v>
      </c>
      <c r="S235" s="231">
        <f>NETWORKDAYS.INTL(DATE(2018,1,1),DATE(2018,12,31),1,{"2018/1/1";"2018/3/30";"2018/4/2";"2018/5/1";"2018/5/8";"2018/7/5";"2018/7/6";"2018/09/28";"2018/11/17";"2018/12/24";"2018/12/25";"2018/12/26"})</f>
        <v>250</v>
      </c>
      <c r="T235" s="231">
        <f t="shared" si="17"/>
        <v>115</v>
      </c>
      <c r="U235" s="231">
        <f t="shared" si="18"/>
        <v>365</v>
      </c>
      <c r="V235" s="312">
        <f t="shared" si="19"/>
        <v>0</v>
      </c>
      <c r="W235" s="233">
        <f t="shared" si="20"/>
        <v>0</v>
      </c>
      <c r="X235" s="234">
        <f t="shared" si="21"/>
        <v>0</v>
      </c>
      <c r="Y235" s="141">
        <v>0</v>
      </c>
    </row>
    <row r="236" spans="1:25" ht="15" x14ac:dyDescent="0.2">
      <c r="A236" s="374" t="s">
        <v>678</v>
      </c>
      <c r="B236" s="236" t="s">
        <v>54</v>
      </c>
      <c r="C236" s="236" t="s">
        <v>179</v>
      </c>
      <c r="D236" s="535" t="str">
        <f>VLOOKUP(C236,'Seznam HS - nemaš'!$A$1:$B$96,2,FALSE)</f>
        <v>417200</v>
      </c>
      <c r="E236" s="237" t="s">
        <v>976</v>
      </c>
      <c r="F236" s="303" t="s">
        <v>437</v>
      </c>
      <c r="G236" s="303"/>
      <c r="H236" s="224">
        <f>+IF(ISBLANK(I236),0,VLOOKUP(I236,'8Příloha_2_ceník_pravid_úklid'!$B$9:$C$30,2,0))</f>
        <v>7</v>
      </c>
      <c r="I236" s="273" t="s">
        <v>14</v>
      </c>
      <c r="J236" s="241">
        <v>1.4</v>
      </c>
      <c r="K236" s="240" t="s">
        <v>50</v>
      </c>
      <c r="L236" s="242" t="s">
        <v>647</v>
      </c>
      <c r="M236" s="237" t="s">
        <v>49</v>
      </c>
      <c r="N236" s="229" t="s">
        <v>501</v>
      </c>
      <c r="O236" s="230">
        <v>0</v>
      </c>
      <c r="P236" s="230">
        <v>0</v>
      </c>
      <c r="Q236" s="230">
        <v>0</v>
      </c>
      <c r="R236" s="230">
        <v>0</v>
      </c>
      <c r="S236" s="231">
        <f>NETWORKDAYS.INTL(DATE(2018,1,1),DATE(2018,12,31),1,{"2018/1/1";"2018/3/30";"2018/4/2";"2018/5/1";"2018/5/8";"2018/7/5";"2018/7/6";"2018/09/28";"2018/11/17";"2018/12/24";"2018/12/25";"2018/12/26"})</f>
        <v>250</v>
      </c>
      <c r="T236" s="231">
        <f t="shared" si="17"/>
        <v>115</v>
      </c>
      <c r="U236" s="231">
        <f t="shared" si="18"/>
        <v>365</v>
      </c>
      <c r="V236" s="312">
        <f t="shared" si="19"/>
        <v>0</v>
      </c>
      <c r="W236" s="233">
        <f t="shared" si="20"/>
        <v>0</v>
      </c>
      <c r="X236" s="234">
        <f t="shared" si="21"/>
        <v>0</v>
      </c>
      <c r="Y236" s="141">
        <v>0</v>
      </c>
    </row>
    <row r="237" spans="1:25" ht="15" x14ac:dyDescent="0.2">
      <c r="A237" s="374" t="s">
        <v>678</v>
      </c>
      <c r="B237" s="236" t="s">
        <v>54</v>
      </c>
      <c r="C237" s="236" t="s">
        <v>179</v>
      </c>
      <c r="D237" s="535" t="str">
        <f>VLOOKUP(C237,'Seznam HS - nemaš'!$A$1:$B$96,2,FALSE)</f>
        <v>417200</v>
      </c>
      <c r="E237" s="237" t="s">
        <v>977</v>
      </c>
      <c r="F237" s="303" t="s">
        <v>968</v>
      </c>
      <c r="G237" s="303" t="s">
        <v>969</v>
      </c>
      <c r="H237" s="224">
        <f>+IF(ISBLANK(I237),0,VLOOKUP(I237,'8Příloha_2_ceník_pravid_úklid'!$B$9:$C$30,2,0))</f>
        <v>19</v>
      </c>
      <c r="I237" s="273" t="s">
        <v>91</v>
      </c>
      <c r="J237" s="241">
        <v>13.69</v>
      </c>
      <c r="K237" s="240" t="s">
        <v>51</v>
      </c>
      <c r="L237" s="242" t="s">
        <v>970</v>
      </c>
      <c r="M237" s="237" t="s">
        <v>49</v>
      </c>
      <c r="N237" s="229" t="s">
        <v>501</v>
      </c>
      <c r="O237" s="230">
        <v>0</v>
      </c>
      <c r="P237" s="230">
        <v>0</v>
      </c>
      <c r="Q237" s="230">
        <v>0</v>
      </c>
      <c r="R237" s="230">
        <v>0</v>
      </c>
      <c r="S237" s="231">
        <f>NETWORKDAYS.INTL(DATE(2018,1,1),DATE(2018,12,31),1,{"2018/1/1";"2018/3/30";"2018/4/2";"2018/5/1";"2018/5/8";"2018/7/5";"2018/7/6";"2018/09/28";"2018/11/17";"2018/12/24";"2018/12/25";"2018/12/26"})</f>
        <v>250</v>
      </c>
      <c r="T237" s="231">
        <f t="shared" si="17"/>
        <v>115</v>
      </c>
      <c r="U237" s="231">
        <f t="shared" si="18"/>
        <v>365</v>
      </c>
      <c r="V237" s="312">
        <f t="shared" si="19"/>
        <v>0</v>
      </c>
      <c r="W237" s="233">
        <f t="shared" si="20"/>
        <v>0</v>
      </c>
      <c r="X237" s="234">
        <f t="shared" si="21"/>
        <v>0</v>
      </c>
      <c r="Y237" s="141">
        <v>0</v>
      </c>
    </row>
    <row r="238" spans="1:25" ht="15" x14ac:dyDescent="0.2">
      <c r="A238" s="374" t="s">
        <v>678</v>
      </c>
      <c r="B238" s="236" t="s">
        <v>54</v>
      </c>
      <c r="C238" s="236" t="s">
        <v>179</v>
      </c>
      <c r="D238" s="535" t="str">
        <f>VLOOKUP(C238,'Seznam HS - nemaš'!$A$1:$B$96,2,FALSE)</f>
        <v>417200</v>
      </c>
      <c r="E238" s="237" t="s">
        <v>978</v>
      </c>
      <c r="F238" s="303" t="s">
        <v>389</v>
      </c>
      <c r="G238" s="303"/>
      <c r="H238" s="224">
        <f>+IF(ISBLANK(I238),0,VLOOKUP(I238,'8Příloha_2_ceník_pravid_úklid'!$B$9:$C$30,2,0))</f>
        <v>17</v>
      </c>
      <c r="I238" s="273" t="s">
        <v>13</v>
      </c>
      <c r="J238" s="241">
        <v>10.31</v>
      </c>
      <c r="K238" s="240" t="s">
        <v>51</v>
      </c>
      <c r="L238" s="242" t="s">
        <v>647</v>
      </c>
      <c r="M238" s="237" t="s">
        <v>49</v>
      </c>
      <c r="N238" s="229" t="s">
        <v>501</v>
      </c>
      <c r="O238" s="230">
        <v>0</v>
      </c>
      <c r="P238" s="230">
        <v>0</v>
      </c>
      <c r="Q238" s="230">
        <v>0</v>
      </c>
      <c r="R238" s="230">
        <v>0</v>
      </c>
      <c r="S238" s="231">
        <f>NETWORKDAYS.INTL(DATE(2018,1,1),DATE(2018,12,31),1,{"2018/1/1";"2018/3/30";"2018/4/2";"2018/5/1";"2018/5/8";"2018/7/5";"2018/7/6";"2018/09/28";"2018/11/17";"2018/12/24";"2018/12/25";"2018/12/26"})</f>
        <v>250</v>
      </c>
      <c r="T238" s="231">
        <f t="shared" si="17"/>
        <v>115</v>
      </c>
      <c r="U238" s="231">
        <f t="shared" si="18"/>
        <v>365</v>
      </c>
      <c r="V238" s="312">
        <f t="shared" si="19"/>
        <v>0</v>
      </c>
      <c r="W238" s="233">
        <f t="shared" si="20"/>
        <v>0</v>
      </c>
      <c r="X238" s="234">
        <f t="shared" si="21"/>
        <v>0</v>
      </c>
      <c r="Y238" s="141">
        <v>0</v>
      </c>
    </row>
    <row r="239" spans="1:25" ht="15" x14ac:dyDescent="0.2">
      <c r="A239" s="374" t="s">
        <v>678</v>
      </c>
      <c r="B239" s="236" t="s">
        <v>54</v>
      </c>
      <c r="C239" s="236" t="s">
        <v>179</v>
      </c>
      <c r="D239" s="535" t="str">
        <f>VLOOKUP(C239,'Seznam HS - nemaš'!$A$1:$B$96,2,FALSE)</f>
        <v>417200</v>
      </c>
      <c r="E239" s="237" t="s">
        <v>979</v>
      </c>
      <c r="F239" s="303" t="s">
        <v>389</v>
      </c>
      <c r="G239" s="303" t="s">
        <v>980</v>
      </c>
      <c r="H239" s="224">
        <f>+IF(ISBLANK(I239),0,VLOOKUP(I239,'8Příloha_2_ceník_pravid_úklid'!$B$9:$C$30,2,0))</f>
        <v>17</v>
      </c>
      <c r="I239" s="273" t="s">
        <v>13</v>
      </c>
      <c r="J239" s="241">
        <v>10.44</v>
      </c>
      <c r="K239" s="240" t="s">
        <v>51</v>
      </c>
      <c r="L239" s="242" t="s">
        <v>647</v>
      </c>
      <c r="M239" s="237" t="s">
        <v>49</v>
      </c>
      <c r="N239" s="229" t="s">
        <v>501</v>
      </c>
      <c r="O239" s="230">
        <v>0</v>
      </c>
      <c r="P239" s="230">
        <v>0</v>
      </c>
      <c r="Q239" s="230">
        <v>0</v>
      </c>
      <c r="R239" s="230">
        <v>0</v>
      </c>
      <c r="S239" s="231">
        <f>NETWORKDAYS.INTL(DATE(2018,1,1),DATE(2018,12,31),1,{"2018/1/1";"2018/3/30";"2018/4/2";"2018/5/1";"2018/5/8";"2018/7/5";"2018/7/6";"2018/09/28";"2018/11/17";"2018/12/24";"2018/12/25";"2018/12/26"})</f>
        <v>250</v>
      </c>
      <c r="T239" s="231">
        <f t="shared" si="17"/>
        <v>115</v>
      </c>
      <c r="U239" s="231">
        <f t="shared" si="18"/>
        <v>365</v>
      </c>
      <c r="V239" s="312">
        <f t="shared" si="19"/>
        <v>0</v>
      </c>
      <c r="W239" s="233">
        <f t="shared" si="20"/>
        <v>0</v>
      </c>
      <c r="X239" s="234">
        <f t="shared" si="21"/>
        <v>0</v>
      </c>
      <c r="Y239" s="141">
        <v>0</v>
      </c>
    </row>
    <row r="240" spans="1:25" ht="15" x14ac:dyDescent="0.2">
      <c r="A240" s="374" t="s">
        <v>678</v>
      </c>
      <c r="B240" s="236" t="s">
        <v>54</v>
      </c>
      <c r="C240" s="236" t="s">
        <v>179</v>
      </c>
      <c r="D240" s="535" t="str">
        <f>VLOOKUP(C240,'Seznam HS - nemaš'!$A$1:$B$96,2,FALSE)</f>
        <v>417200</v>
      </c>
      <c r="E240" s="237" t="s">
        <v>981</v>
      </c>
      <c r="F240" s="303" t="s">
        <v>982</v>
      </c>
      <c r="G240" s="303"/>
      <c r="H240" s="224">
        <f>+IF(ISBLANK(I240),0,VLOOKUP(I240,'8Příloha_2_ceník_pravid_úklid'!$B$9:$C$30,2,0))</f>
        <v>9</v>
      </c>
      <c r="I240" s="273" t="s">
        <v>10</v>
      </c>
      <c r="J240" s="241">
        <v>21.26</v>
      </c>
      <c r="K240" s="240" t="s">
        <v>51</v>
      </c>
      <c r="L240" s="242" t="s">
        <v>970</v>
      </c>
      <c r="M240" s="237" t="s">
        <v>49</v>
      </c>
      <c r="N240" s="229" t="s">
        <v>501</v>
      </c>
      <c r="O240" s="230">
        <v>0</v>
      </c>
      <c r="P240" s="230">
        <v>0</v>
      </c>
      <c r="Q240" s="230">
        <v>0</v>
      </c>
      <c r="R240" s="230">
        <v>0</v>
      </c>
      <c r="S240" s="231">
        <f>NETWORKDAYS.INTL(DATE(2018,1,1),DATE(2018,12,31),1,{"2018/1/1";"2018/3/30";"2018/4/2";"2018/5/1";"2018/5/8";"2018/7/5";"2018/7/6";"2018/09/28";"2018/11/17";"2018/12/24";"2018/12/25";"2018/12/26"})</f>
        <v>250</v>
      </c>
      <c r="T240" s="231">
        <f t="shared" si="17"/>
        <v>115</v>
      </c>
      <c r="U240" s="231">
        <f t="shared" si="18"/>
        <v>365</v>
      </c>
      <c r="V240" s="312">
        <f t="shared" si="19"/>
        <v>0</v>
      </c>
      <c r="W240" s="233">
        <f t="shared" si="20"/>
        <v>0</v>
      </c>
      <c r="X240" s="234">
        <f t="shared" si="21"/>
        <v>0</v>
      </c>
      <c r="Y240" s="141">
        <v>0</v>
      </c>
    </row>
    <row r="241" spans="1:25" ht="15" x14ac:dyDescent="0.2">
      <c r="A241" s="374" t="s">
        <v>678</v>
      </c>
      <c r="B241" s="236" t="s">
        <v>54</v>
      </c>
      <c r="C241" s="236" t="s">
        <v>179</v>
      </c>
      <c r="D241" s="535" t="str">
        <f>VLOOKUP(C241,'Seznam HS - nemaš'!$A$1:$B$96,2,FALSE)</f>
        <v>417200</v>
      </c>
      <c r="E241" s="237" t="s">
        <v>983</v>
      </c>
      <c r="F241" s="303" t="s">
        <v>53</v>
      </c>
      <c r="G241" s="303"/>
      <c r="H241" s="224">
        <f>+IF(ISBLANK(I241),0,VLOOKUP(I241,'8Příloha_2_ceník_pravid_úklid'!$B$9:$C$30,2,0))</f>
        <v>6</v>
      </c>
      <c r="I241" s="273" t="s">
        <v>1</v>
      </c>
      <c r="J241" s="241">
        <v>8.69</v>
      </c>
      <c r="K241" s="240" t="s">
        <v>51</v>
      </c>
      <c r="L241" s="242" t="s">
        <v>965</v>
      </c>
      <c r="M241" s="237" t="s">
        <v>49</v>
      </c>
      <c r="N241" s="229" t="s">
        <v>501</v>
      </c>
      <c r="O241" s="230">
        <v>0</v>
      </c>
      <c r="P241" s="230">
        <v>0</v>
      </c>
      <c r="Q241" s="230">
        <v>0</v>
      </c>
      <c r="R241" s="230">
        <v>0</v>
      </c>
      <c r="S241" s="231">
        <f>NETWORKDAYS.INTL(DATE(2018,1,1),DATE(2018,12,31),1,{"2018/1/1";"2018/3/30";"2018/4/2";"2018/5/1";"2018/5/8";"2018/7/5";"2018/7/6";"2018/09/28";"2018/11/17";"2018/12/24";"2018/12/25";"2018/12/26"})</f>
        <v>250</v>
      </c>
      <c r="T241" s="231">
        <f t="shared" si="17"/>
        <v>115</v>
      </c>
      <c r="U241" s="231">
        <f t="shared" si="18"/>
        <v>365</v>
      </c>
      <c r="V241" s="312">
        <f t="shared" si="19"/>
        <v>0</v>
      </c>
      <c r="W241" s="233">
        <f t="shared" si="20"/>
        <v>0</v>
      </c>
      <c r="X241" s="234">
        <f t="shared" si="21"/>
        <v>0</v>
      </c>
      <c r="Y241" s="141">
        <v>0</v>
      </c>
    </row>
    <row r="242" spans="1:25" ht="15" x14ac:dyDescent="0.2">
      <c r="A242" s="374" t="s">
        <v>678</v>
      </c>
      <c r="B242" s="236" t="s">
        <v>54</v>
      </c>
      <c r="C242" s="236" t="s">
        <v>179</v>
      </c>
      <c r="D242" s="535" t="str">
        <f>VLOOKUP(C242,'Seznam HS - nemaš'!$A$1:$B$96,2,FALSE)</f>
        <v>417200</v>
      </c>
      <c r="E242" s="237" t="s">
        <v>984</v>
      </c>
      <c r="F242" s="303" t="s">
        <v>985</v>
      </c>
      <c r="G242" s="303"/>
      <c r="H242" s="224">
        <f>+IF(ISBLANK(I242),0,VLOOKUP(I242,'8Příloha_2_ceník_pravid_úklid'!$B$9:$C$30,2,0))</f>
        <v>2</v>
      </c>
      <c r="I242" s="273" t="s">
        <v>2</v>
      </c>
      <c r="J242" s="241">
        <v>11.25</v>
      </c>
      <c r="K242" s="240" t="s">
        <v>50</v>
      </c>
      <c r="L242" s="242" t="s">
        <v>965</v>
      </c>
      <c r="M242" s="237" t="s">
        <v>49</v>
      </c>
      <c r="N242" s="229" t="s">
        <v>501</v>
      </c>
      <c r="O242" s="230">
        <v>0</v>
      </c>
      <c r="P242" s="230">
        <v>0</v>
      </c>
      <c r="Q242" s="230">
        <v>0</v>
      </c>
      <c r="R242" s="230">
        <v>0</v>
      </c>
      <c r="S242" s="231">
        <f>NETWORKDAYS.INTL(DATE(2018,1,1),DATE(2018,12,31),1,{"2018/1/1";"2018/3/30";"2018/4/2";"2018/5/1";"2018/5/8";"2018/7/5";"2018/7/6";"2018/09/28";"2018/11/17";"2018/12/24";"2018/12/25";"2018/12/26"})</f>
        <v>250</v>
      </c>
      <c r="T242" s="231">
        <f t="shared" si="17"/>
        <v>115</v>
      </c>
      <c r="U242" s="231">
        <f t="shared" si="18"/>
        <v>365</v>
      </c>
      <c r="V242" s="312">
        <f t="shared" si="19"/>
        <v>0</v>
      </c>
      <c r="W242" s="233">
        <f t="shared" si="20"/>
        <v>0</v>
      </c>
      <c r="X242" s="234">
        <f t="shared" si="21"/>
        <v>0</v>
      </c>
      <c r="Y242" s="141">
        <v>0</v>
      </c>
    </row>
    <row r="243" spans="1:25" ht="15" x14ac:dyDescent="0.2">
      <c r="A243" s="374" t="s">
        <v>678</v>
      </c>
      <c r="B243" s="236" t="s">
        <v>54</v>
      </c>
      <c r="C243" s="236" t="s">
        <v>179</v>
      </c>
      <c r="D243" s="535" t="str">
        <f>VLOOKUP(C243,'Seznam HS - nemaš'!$A$1:$B$96,2,FALSE)</f>
        <v>417200</v>
      </c>
      <c r="E243" s="237" t="s">
        <v>986</v>
      </c>
      <c r="F243" s="303" t="s">
        <v>397</v>
      </c>
      <c r="G243" s="303"/>
      <c r="H243" s="224">
        <f>+IF(ISBLANK(I243),0,VLOOKUP(I243,'8Příloha_2_ceník_pravid_úklid'!$B$9:$C$30,2,0))</f>
        <v>6</v>
      </c>
      <c r="I243" s="273" t="s">
        <v>1</v>
      </c>
      <c r="J243" s="241">
        <v>3.87</v>
      </c>
      <c r="K243" s="240" t="s">
        <v>50</v>
      </c>
      <c r="L243" s="242" t="s">
        <v>965</v>
      </c>
      <c r="M243" s="237" t="s">
        <v>49</v>
      </c>
      <c r="N243" s="229" t="s">
        <v>501</v>
      </c>
      <c r="O243" s="230">
        <v>0</v>
      </c>
      <c r="P243" s="230">
        <v>0</v>
      </c>
      <c r="Q243" s="230">
        <v>0</v>
      </c>
      <c r="R243" s="230">
        <v>0</v>
      </c>
      <c r="S243" s="231">
        <f>NETWORKDAYS.INTL(DATE(2018,1,1),DATE(2018,12,31),1,{"2018/1/1";"2018/3/30";"2018/4/2";"2018/5/1";"2018/5/8";"2018/7/5";"2018/7/6";"2018/09/28";"2018/11/17";"2018/12/24";"2018/12/25";"2018/12/26"})</f>
        <v>250</v>
      </c>
      <c r="T243" s="231">
        <f t="shared" si="17"/>
        <v>115</v>
      </c>
      <c r="U243" s="231">
        <f t="shared" si="18"/>
        <v>365</v>
      </c>
      <c r="V243" s="312">
        <f t="shared" si="19"/>
        <v>0</v>
      </c>
      <c r="W243" s="233">
        <f t="shared" si="20"/>
        <v>0</v>
      </c>
      <c r="X243" s="234">
        <f t="shared" si="21"/>
        <v>0</v>
      </c>
      <c r="Y243" s="141">
        <v>0</v>
      </c>
    </row>
    <row r="244" spans="1:25" ht="15" x14ac:dyDescent="0.2">
      <c r="A244" s="374" t="s">
        <v>678</v>
      </c>
      <c r="B244" s="236" t="s">
        <v>54</v>
      </c>
      <c r="C244" s="236" t="s">
        <v>179</v>
      </c>
      <c r="D244" s="535" t="str">
        <f>VLOOKUP(C244,'Seznam HS - nemaš'!$A$1:$B$96,2,FALSE)</f>
        <v>417200</v>
      </c>
      <c r="E244" s="237" t="s">
        <v>987</v>
      </c>
      <c r="F244" s="303" t="s">
        <v>492</v>
      </c>
      <c r="G244" s="303" t="s">
        <v>988</v>
      </c>
      <c r="H244" s="224">
        <f>+IF(ISBLANK(I244),0,VLOOKUP(I244,'8Příloha_2_ceník_pravid_úklid'!$B$9:$C$30,2,0))</f>
        <v>4</v>
      </c>
      <c r="I244" s="273" t="s">
        <v>9</v>
      </c>
      <c r="J244" s="241">
        <v>9.68</v>
      </c>
      <c r="K244" s="240" t="s">
        <v>51</v>
      </c>
      <c r="L244" s="242" t="s">
        <v>647</v>
      </c>
      <c r="M244" s="237" t="s">
        <v>49</v>
      </c>
      <c r="N244" s="229" t="s">
        <v>501</v>
      </c>
      <c r="O244" s="230">
        <v>0</v>
      </c>
      <c r="P244" s="230">
        <v>0</v>
      </c>
      <c r="Q244" s="230">
        <v>0</v>
      </c>
      <c r="R244" s="230">
        <v>0</v>
      </c>
      <c r="S244" s="231">
        <f>NETWORKDAYS.INTL(DATE(2018,1,1),DATE(2018,12,31),1,{"2018/1/1";"2018/3/30";"2018/4/2";"2018/5/1";"2018/5/8";"2018/7/5";"2018/7/6";"2018/09/28";"2018/11/17";"2018/12/24";"2018/12/25";"2018/12/26"})</f>
        <v>250</v>
      </c>
      <c r="T244" s="231">
        <f t="shared" si="17"/>
        <v>115</v>
      </c>
      <c r="U244" s="231">
        <f t="shared" si="18"/>
        <v>365</v>
      </c>
      <c r="V244" s="312">
        <f t="shared" si="19"/>
        <v>0</v>
      </c>
      <c r="W244" s="233">
        <f t="shared" si="20"/>
        <v>0</v>
      </c>
      <c r="X244" s="234">
        <f t="shared" si="21"/>
        <v>0</v>
      </c>
      <c r="Y244" s="141">
        <v>0</v>
      </c>
    </row>
    <row r="245" spans="1:25" ht="15" x14ac:dyDescent="0.2">
      <c r="A245" s="374" t="s">
        <v>678</v>
      </c>
      <c r="B245" s="236" t="s">
        <v>54</v>
      </c>
      <c r="C245" s="236" t="s">
        <v>179</v>
      </c>
      <c r="D245" s="535" t="str">
        <f>VLOOKUP(C245,'Seznam HS - nemaš'!$A$1:$B$96,2,FALSE)</f>
        <v>417200</v>
      </c>
      <c r="E245" s="237" t="s">
        <v>989</v>
      </c>
      <c r="F245" s="303" t="s">
        <v>608</v>
      </c>
      <c r="G245" s="303"/>
      <c r="H245" s="224">
        <f>+IF(ISBLANK(I245),0,VLOOKUP(I245,'8Příloha_2_ceník_pravid_úklid'!$B$9:$C$30,2,0))</f>
        <v>4</v>
      </c>
      <c r="I245" s="273" t="s">
        <v>9</v>
      </c>
      <c r="J245" s="241">
        <v>9.85</v>
      </c>
      <c r="K245" s="240" t="s">
        <v>51</v>
      </c>
      <c r="L245" s="242" t="s">
        <v>647</v>
      </c>
      <c r="M245" s="237" t="s">
        <v>49</v>
      </c>
      <c r="N245" s="229" t="s">
        <v>501</v>
      </c>
      <c r="O245" s="230">
        <v>0</v>
      </c>
      <c r="P245" s="230">
        <v>0</v>
      </c>
      <c r="Q245" s="230">
        <v>0</v>
      </c>
      <c r="R245" s="230">
        <v>0</v>
      </c>
      <c r="S245" s="231">
        <f>NETWORKDAYS.INTL(DATE(2018,1,1),DATE(2018,12,31),1,{"2018/1/1";"2018/3/30";"2018/4/2";"2018/5/1";"2018/5/8";"2018/7/5";"2018/7/6";"2018/09/28";"2018/11/17";"2018/12/24";"2018/12/25";"2018/12/26"})</f>
        <v>250</v>
      </c>
      <c r="T245" s="231">
        <f t="shared" si="17"/>
        <v>115</v>
      </c>
      <c r="U245" s="231">
        <f t="shared" si="18"/>
        <v>365</v>
      </c>
      <c r="V245" s="312">
        <f t="shared" si="19"/>
        <v>0</v>
      </c>
      <c r="W245" s="233">
        <f t="shared" si="20"/>
        <v>0</v>
      </c>
      <c r="X245" s="234">
        <f t="shared" si="21"/>
        <v>0</v>
      </c>
      <c r="Y245" s="141">
        <v>0</v>
      </c>
    </row>
    <row r="246" spans="1:25" ht="15" x14ac:dyDescent="0.2">
      <c r="A246" s="374" t="s">
        <v>678</v>
      </c>
      <c r="B246" s="236" t="s">
        <v>54</v>
      </c>
      <c r="C246" s="236" t="s">
        <v>179</v>
      </c>
      <c r="D246" s="535" t="str">
        <f>VLOOKUP(C246,'Seznam HS - nemaš'!$A$1:$B$96,2,FALSE)</f>
        <v>417200</v>
      </c>
      <c r="E246" s="237" t="s">
        <v>990</v>
      </c>
      <c r="F246" s="303" t="s">
        <v>608</v>
      </c>
      <c r="G246" s="303"/>
      <c r="H246" s="224">
        <f>+IF(ISBLANK(I246),0,VLOOKUP(I246,'8Příloha_2_ceník_pravid_úklid'!$B$9:$C$30,2,0))</f>
        <v>4</v>
      </c>
      <c r="I246" s="273" t="s">
        <v>9</v>
      </c>
      <c r="J246" s="241">
        <v>8.66</v>
      </c>
      <c r="K246" s="240" t="s">
        <v>51</v>
      </c>
      <c r="L246" s="242" t="s">
        <v>647</v>
      </c>
      <c r="M246" s="237" t="s">
        <v>49</v>
      </c>
      <c r="N246" s="229" t="s">
        <v>501</v>
      </c>
      <c r="O246" s="230">
        <v>0</v>
      </c>
      <c r="P246" s="230">
        <v>0</v>
      </c>
      <c r="Q246" s="230">
        <v>0</v>
      </c>
      <c r="R246" s="230">
        <v>0</v>
      </c>
      <c r="S246" s="231">
        <f>NETWORKDAYS.INTL(DATE(2018,1,1),DATE(2018,12,31),1,{"2018/1/1";"2018/3/30";"2018/4/2";"2018/5/1";"2018/5/8";"2018/7/5";"2018/7/6";"2018/09/28";"2018/11/17";"2018/12/24";"2018/12/25";"2018/12/26"})</f>
        <v>250</v>
      </c>
      <c r="T246" s="231">
        <f t="shared" si="17"/>
        <v>115</v>
      </c>
      <c r="U246" s="231">
        <f t="shared" si="18"/>
        <v>365</v>
      </c>
      <c r="V246" s="312">
        <f t="shared" si="19"/>
        <v>0</v>
      </c>
      <c r="W246" s="233">
        <f t="shared" si="20"/>
        <v>0</v>
      </c>
      <c r="X246" s="234">
        <f t="shared" si="21"/>
        <v>0</v>
      </c>
      <c r="Y246" s="141">
        <v>0</v>
      </c>
    </row>
    <row r="247" spans="1:25" ht="15" x14ac:dyDescent="0.2">
      <c r="A247" s="374" t="s">
        <v>678</v>
      </c>
      <c r="B247" s="236" t="s">
        <v>54</v>
      </c>
      <c r="C247" s="236" t="s">
        <v>179</v>
      </c>
      <c r="D247" s="535" t="str">
        <f>VLOOKUP(C247,'Seznam HS - nemaš'!$A$1:$B$96,2,FALSE)</f>
        <v>417200</v>
      </c>
      <c r="E247" s="237" t="s">
        <v>991</v>
      </c>
      <c r="F247" s="303" t="s">
        <v>492</v>
      </c>
      <c r="G247" s="303" t="s">
        <v>615</v>
      </c>
      <c r="H247" s="224">
        <f>+IF(ISBLANK(I247),0,VLOOKUP(I247,'8Příloha_2_ceník_pravid_úklid'!$B$9:$C$30,2,0))</f>
        <v>4</v>
      </c>
      <c r="I247" s="273" t="s">
        <v>9</v>
      </c>
      <c r="J247" s="241">
        <v>8.5500000000000007</v>
      </c>
      <c r="K247" s="240" t="s">
        <v>51</v>
      </c>
      <c r="L247" s="242" t="s">
        <v>647</v>
      </c>
      <c r="M247" s="237" t="s">
        <v>49</v>
      </c>
      <c r="N247" s="229" t="s">
        <v>501</v>
      </c>
      <c r="O247" s="230">
        <v>0</v>
      </c>
      <c r="P247" s="230">
        <v>0</v>
      </c>
      <c r="Q247" s="230">
        <v>0</v>
      </c>
      <c r="R247" s="230">
        <v>0</v>
      </c>
      <c r="S247" s="231">
        <f>NETWORKDAYS.INTL(DATE(2018,1,1),DATE(2018,12,31),1,{"2018/1/1";"2018/3/30";"2018/4/2";"2018/5/1";"2018/5/8";"2018/7/5";"2018/7/6";"2018/09/28";"2018/11/17";"2018/12/24";"2018/12/25";"2018/12/26"})</f>
        <v>250</v>
      </c>
      <c r="T247" s="231">
        <f t="shared" si="17"/>
        <v>115</v>
      </c>
      <c r="U247" s="231">
        <f t="shared" si="18"/>
        <v>365</v>
      </c>
      <c r="V247" s="312">
        <f t="shared" si="19"/>
        <v>0</v>
      </c>
      <c r="W247" s="233">
        <f t="shared" si="20"/>
        <v>0</v>
      </c>
      <c r="X247" s="234">
        <f t="shared" si="21"/>
        <v>0</v>
      </c>
      <c r="Y247" s="141">
        <v>0</v>
      </c>
    </row>
    <row r="248" spans="1:25" ht="15" x14ac:dyDescent="0.2">
      <c r="A248" s="374" t="s">
        <v>678</v>
      </c>
      <c r="B248" s="236" t="s">
        <v>54</v>
      </c>
      <c r="C248" s="236" t="s">
        <v>179</v>
      </c>
      <c r="D248" s="535" t="str">
        <f>VLOOKUP(C248,'Seznam HS - nemaš'!$A$1:$B$96,2,FALSE)</f>
        <v>417200</v>
      </c>
      <c r="E248" s="237" t="s">
        <v>992</v>
      </c>
      <c r="F248" s="303" t="s">
        <v>377</v>
      </c>
      <c r="G248" s="303"/>
      <c r="H248" s="224">
        <f>+IF(ISBLANK(I248),0,VLOOKUP(I248,'8Příloha_2_ceník_pravid_úklid'!$B$9:$C$30,2,0))</f>
        <v>4</v>
      </c>
      <c r="I248" s="273" t="s">
        <v>9</v>
      </c>
      <c r="J248" s="241">
        <v>8.5500000000000007</v>
      </c>
      <c r="K248" s="240" t="s">
        <v>51</v>
      </c>
      <c r="L248" s="242" t="s">
        <v>647</v>
      </c>
      <c r="M248" s="237" t="s">
        <v>49</v>
      </c>
      <c r="N248" s="229" t="s">
        <v>501</v>
      </c>
      <c r="O248" s="230">
        <v>0</v>
      </c>
      <c r="P248" s="230">
        <v>0</v>
      </c>
      <c r="Q248" s="230">
        <v>0</v>
      </c>
      <c r="R248" s="230">
        <v>0</v>
      </c>
      <c r="S248" s="231">
        <f>NETWORKDAYS.INTL(DATE(2018,1,1),DATE(2018,12,31),1,{"2018/1/1";"2018/3/30";"2018/4/2";"2018/5/1";"2018/5/8";"2018/7/5";"2018/7/6";"2018/09/28";"2018/11/17";"2018/12/24";"2018/12/25";"2018/12/26"})</f>
        <v>250</v>
      </c>
      <c r="T248" s="231">
        <f t="shared" si="17"/>
        <v>115</v>
      </c>
      <c r="U248" s="231">
        <f t="shared" si="18"/>
        <v>365</v>
      </c>
      <c r="V248" s="312">
        <f t="shared" si="19"/>
        <v>0</v>
      </c>
      <c r="W248" s="233">
        <f t="shared" si="20"/>
        <v>0</v>
      </c>
      <c r="X248" s="234">
        <f t="shared" si="21"/>
        <v>0</v>
      </c>
      <c r="Y248" s="141">
        <v>0</v>
      </c>
    </row>
    <row r="249" spans="1:25" ht="15" x14ac:dyDescent="0.2">
      <c r="A249" s="374" t="s">
        <v>678</v>
      </c>
      <c r="B249" s="236" t="s">
        <v>54</v>
      </c>
      <c r="C249" s="236" t="s">
        <v>179</v>
      </c>
      <c r="D249" s="535" t="str">
        <f>VLOOKUP(C249,'Seznam HS - nemaš'!$A$1:$B$96,2,FALSE)</f>
        <v>417200</v>
      </c>
      <c r="E249" s="237" t="s">
        <v>993</v>
      </c>
      <c r="F249" s="303" t="s">
        <v>633</v>
      </c>
      <c r="G249" s="303"/>
      <c r="H249" s="224">
        <f>+IF(ISBLANK(I249),0,VLOOKUP(I249,'8Příloha_2_ceník_pravid_úklid'!$B$9:$C$30,2,0))</f>
        <v>4</v>
      </c>
      <c r="I249" s="273" t="s">
        <v>9</v>
      </c>
      <c r="J249" s="241">
        <v>8.5500000000000007</v>
      </c>
      <c r="K249" s="240" t="s">
        <v>51</v>
      </c>
      <c r="L249" s="242" t="s">
        <v>647</v>
      </c>
      <c r="M249" s="237" t="s">
        <v>49</v>
      </c>
      <c r="N249" s="229" t="s">
        <v>501</v>
      </c>
      <c r="O249" s="230">
        <v>0</v>
      </c>
      <c r="P249" s="230">
        <v>0</v>
      </c>
      <c r="Q249" s="230">
        <v>0</v>
      </c>
      <c r="R249" s="230">
        <v>0</v>
      </c>
      <c r="S249" s="231">
        <f>NETWORKDAYS.INTL(DATE(2018,1,1),DATE(2018,12,31),1,{"2018/1/1";"2018/3/30";"2018/4/2";"2018/5/1";"2018/5/8";"2018/7/5";"2018/7/6";"2018/09/28";"2018/11/17";"2018/12/24";"2018/12/25";"2018/12/26"})</f>
        <v>250</v>
      </c>
      <c r="T249" s="231">
        <f t="shared" si="17"/>
        <v>115</v>
      </c>
      <c r="U249" s="231">
        <f t="shared" si="18"/>
        <v>365</v>
      </c>
      <c r="V249" s="312">
        <f t="shared" si="19"/>
        <v>0</v>
      </c>
      <c r="W249" s="233">
        <f t="shared" si="20"/>
        <v>0</v>
      </c>
      <c r="X249" s="234">
        <f t="shared" si="21"/>
        <v>0</v>
      </c>
      <c r="Y249" s="141">
        <v>0</v>
      </c>
    </row>
    <row r="250" spans="1:25" ht="15" x14ac:dyDescent="0.2">
      <c r="A250" s="374" t="s">
        <v>678</v>
      </c>
      <c r="B250" s="236" t="s">
        <v>54</v>
      </c>
      <c r="C250" s="236" t="s">
        <v>179</v>
      </c>
      <c r="D250" s="535" t="str">
        <f>VLOOKUP(C250,'Seznam HS - nemaš'!$A$1:$B$96,2,FALSE)</f>
        <v>417200</v>
      </c>
      <c r="E250" s="237" t="s">
        <v>994</v>
      </c>
      <c r="F250" s="303" t="s">
        <v>53</v>
      </c>
      <c r="G250" s="303"/>
      <c r="H250" s="224">
        <f>+IF(ISBLANK(I250),0,VLOOKUP(I250,'8Příloha_2_ceník_pravid_úklid'!$B$9:$C$30,2,0))</f>
        <v>6</v>
      </c>
      <c r="I250" s="273" t="s">
        <v>1</v>
      </c>
      <c r="J250" s="241">
        <v>29.36</v>
      </c>
      <c r="K250" s="240" t="s">
        <v>50</v>
      </c>
      <c r="L250" s="242" t="s">
        <v>965</v>
      </c>
      <c r="M250" s="237" t="s">
        <v>49</v>
      </c>
      <c r="N250" s="229" t="s">
        <v>501</v>
      </c>
      <c r="O250" s="230">
        <v>0</v>
      </c>
      <c r="P250" s="230">
        <v>0</v>
      </c>
      <c r="Q250" s="230">
        <v>0</v>
      </c>
      <c r="R250" s="230">
        <v>0</v>
      </c>
      <c r="S250" s="231">
        <f>NETWORKDAYS.INTL(DATE(2018,1,1),DATE(2018,12,31),1,{"2018/1/1";"2018/3/30";"2018/4/2";"2018/5/1";"2018/5/8";"2018/7/5";"2018/7/6";"2018/09/28";"2018/11/17";"2018/12/24";"2018/12/25";"2018/12/26"})</f>
        <v>250</v>
      </c>
      <c r="T250" s="231">
        <f t="shared" si="17"/>
        <v>115</v>
      </c>
      <c r="U250" s="231">
        <f t="shared" si="18"/>
        <v>365</v>
      </c>
      <c r="V250" s="312">
        <f t="shared" si="19"/>
        <v>0</v>
      </c>
      <c r="W250" s="233">
        <f t="shared" si="20"/>
        <v>0</v>
      </c>
      <c r="X250" s="234">
        <f t="shared" si="21"/>
        <v>0</v>
      </c>
      <c r="Y250" s="141">
        <v>0</v>
      </c>
    </row>
    <row r="251" spans="1:25" ht="15" x14ac:dyDescent="0.2">
      <c r="A251" s="374" t="s">
        <v>678</v>
      </c>
      <c r="B251" s="236" t="s">
        <v>54</v>
      </c>
      <c r="C251" s="236" t="s">
        <v>179</v>
      </c>
      <c r="D251" s="535" t="str">
        <f>VLOOKUP(C251,'Seznam HS - nemaš'!$A$1:$B$96,2,FALSE)</f>
        <v>417200</v>
      </c>
      <c r="E251" s="237" t="s">
        <v>995</v>
      </c>
      <c r="F251" s="303" t="s">
        <v>572</v>
      </c>
      <c r="G251" s="303"/>
      <c r="H251" s="224">
        <f>+IF(ISBLANK(I251),0,VLOOKUP(I251,'8Příloha_2_ceník_pravid_úklid'!$B$9:$C$30,2,0))</f>
        <v>6</v>
      </c>
      <c r="I251" s="273" t="s">
        <v>1</v>
      </c>
      <c r="J251" s="241">
        <v>14.76</v>
      </c>
      <c r="K251" s="240" t="s">
        <v>50</v>
      </c>
      <c r="L251" s="242" t="s">
        <v>965</v>
      </c>
      <c r="M251" s="237" t="s">
        <v>49</v>
      </c>
      <c r="N251" s="229" t="s">
        <v>501</v>
      </c>
      <c r="O251" s="230">
        <v>0</v>
      </c>
      <c r="P251" s="230">
        <v>0</v>
      </c>
      <c r="Q251" s="230">
        <v>0</v>
      </c>
      <c r="R251" s="230">
        <v>0</v>
      </c>
      <c r="S251" s="231">
        <f>NETWORKDAYS.INTL(DATE(2018,1,1),DATE(2018,12,31),1,{"2018/1/1";"2018/3/30";"2018/4/2";"2018/5/1";"2018/5/8";"2018/7/5";"2018/7/6";"2018/09/28";"2018/11/17";"2018/12/24";"2018/12/25";"2018/12/26"})</f>
        <v>250</v>
      </c>
      <c r="T251" s="231">
        <f t="shared" si="17"/>
        <v>115</v>
      </c>
      <c r="U251" s="231">
        <f t="shared" si="18"/>
        <v>365</v>
      </c>
      <c r="V251" s="312">
        <f t="shared" si="19"/>
        <v>0</v>
      </c>
      <c r="W251" s="233">
        <f t="shared" si="20"/>
        <v>0</v>
      </c>
      <c r="X251" s="234">
        <f t="shared" si="21"/>
        <v>0</v>
      </c>
      <c r="Y251" s="141">
        <v>0</v>
      </c>
    </row>
    <row r="252" spans="1:25" ht="15" x14ac:dyDescent="0.2">
      <c r="A252" s="374" t="s">
        <v>678</v>
      </c>
      <c r="B252" s="236" t="s">
        <v>54</v>
      </c>
      <c r="C252" s="236" t="s">
        <v>179</v>
      </c>
      <c r="D252" s="535" t="str">
        <f>VLOOKUP(C252,'Seznam HS - nemaš'!$A$1:$B$96,2,FALSE)</f>
        <v>417200</v>
      </c>
      <c r="E252" s="237" t="s">
        <v>996</v>
      </c>
      <c r="F252" s="303" t="s">
        <v>389</v>
      </c>
      <c r="G252" s="303"/>
      <c r="H252" s="224">
        <f>+IF(ISBLANK(I252),0,VLOOKUP(I252,'8Příloha_2_ceník_pravid_úklid'!$B$9:$C$30,2,0))</f>
        <v>17</v>
      </c>
      <c r="I252" s="273" t="s">
        <v>13</v>
      </c>
      <c r="J252" s="241">
        <v>13.88</v>
      </c>
      <c r="K252" s="240" t="s">
        <v>51</v>
      </c>
      <c r="L252" s="242" t="s">
        <v>647</v>
      </c>
      <c r="M252" s="237" t="s">
        <v>49</v>
      </c>
      <c r="N252" s="229" t="s">
        <v>501</v>
      </c>
      <c r="O252" s="230">
        <v>0</v>
      </c>
      <c r="P252" s="230">
        <v>0</v>
      </c>
      <c r="Q252" s="230">
        <v>0</v>
      </c>
      <c r="R252" s="230">
        <v>0</v>
      </c>
      <c r="S252" s="231">
        <f>NETWORKDAYS.INTL(DATE(2018,1,1),DATE(2018,12,31),1,{"2018/1/1";"2018/3/30";"2018/4/2";"2018/5/1";"2018/5/8";"2018/7/5";"2018/7/6";"2018/09/28";"2018/11/17";"2018/12/24";"2018/12/25";"2018/12/26"})</f>
        <v>250</v>
      </c>
      <c r="T252" s="231">
        <f t="shared" si="17"/>
        <v>115</v>
      </c>
      <c r="U252" s="231">
        <f t="shared" si="18"/>
        <v>365</v>
      </c>
      <c r="V252" s="312">
        <f t="shared" si="19"/>
        <v>0</v>
      </c>
      <c r="W252" s="233">
        <f t="shared" si="20"/>
        <v>0</v>
      </c>
      <c r="X252" s="234">
        <f t="shared" si="21"/>
        <v>0</v>
      </c>
      <c r="Y252" s="141">
        <v>0</v>
      </c>
    </row>
    <row r="253" spans="1:25" ht="28.5" customHeight="1" x14ac:dyDescent="0.2">
      <c r="A253" s="357" t="s">
        <v>678</v>
      </c>
      <c r="B253" s="358" t="s">
        <v>54</v>
      </c>
      <c r="C253" s="358" t="s">
        <v>179</v>
      </c>
      <c r="D253" s="543" t="str">
        <f>VLOOKUP(C253,'Seznam HS - nemaš'!$A$1:$B$96,2,FALSE)</f>
        <v>417200</v>
      </c>
      <c r="E253" s="359"/>
      <c r="F253" s="360" t="s">
        <v>997</v>
      </c>
      <c r="G253" s="360" t="s">
        <v>998</v>
      </c>
      <c r="H253" s="544">
        <f>+IF(ISBLANK(I253),0,VLOOKUP(I253,'8Příloha_2_ceník_pravid_úklid'!$B$9:$C$30,2,0))</f>
        <v>22</v>
      </c>
      <c r="I253" s="362" t="s">
        <v>15</v>
      </c>
      <c r="J253" s="363">
        <f>1*11</f>
        <v>11</v>
      </c>
      <c r="K253" s="364"/>
      <c r="L253" s="365" t="s">
        <v>537</v>
      </c>
      <c r="M253" s="359"/>
      <c r="N253" s="366">
        <f>IF((VLOOKUP(I253,'8Příloha_2_ceník_pravid_úklid'!$B$9:$I$30,8,0))=0,VLOOKUP(I253,'8Příloha_2_ceník_pravid_úklid'!$B$9:$K$30,10,0),VLOOKUP(I253,'8Příloha_2_ceník_pravid_úklid'!$B$9:$I$30,8,0))</f>
        <v>0</v>
      </c>
      <c r="O253" s="365">
        <v>1</v>
      </c>
      <c r="P253" s="365">
        <v>1</v>
      </c>
      <c r="Q253" s="365">
        <v>1</v>
      </c>
      <c r="R253" s="365">
        <v>1</v>
      </c>
      <c r="S253" s="368">
        <f>NETWORKDAYS.INTL(DATE(2018,1,1),DATE(2018,12,31),1,{"2018/1/1";"2018/3/30";"2018/4/2";"2018/5/1";"2018/5/8";"2018/7/5";"2018/7/6";"2018/09/28";"2018/11/17";"2018/12/24";"2018/12/25";"2018/12/26"})</f>
        <v>250</v>
      </c>
      <c r="T253" s="368">
        <f t="shared" si="17"/>
        <v>115</v>
      </c>
      <c r="U253" s="368">
        <f t="shared" si="18"/>
        <v>365</v>
      </c>
      <c r="V253" s="379">
        <f t="shared" si="19"/>
        <v>365</v>
      </c>
      <c r="W253" s="380">
        <f t="shared" si="20"/>
        <v>0</v>
      </c>
      <c r="X253" s="381">
        <f t="shared" si="21"/>
        <v>0</v>
      </c>
      <c r="Y253" s="573">
        <v>0</v>
      </c>
    </row>
    <row r="254" spans="1:25" ht="15" x14ac:dyDescent="0.2">
      <c r="A254" s="276" t="s">
        <v>767</v>
      </c>
      <c r="B254" s="23" t="s">
        <v>54</v>
      </c>
      <c r="C254" s="23" t="s">
        <v>268</v>
      </c>
      <c r="D254" s="139" t="str">
        <f>VLOOKUP(C254,'Seznam HS - nemaš'!$A$1:$B$96,2,FALSE)</f>
        <v>487532</v>
      </c>
      <c r="E254" s="22" t="s">
        <v>999</v>
      </c>
      <c r="F254" s="30" t="s">
        <v>397</v>
      </c>
      <c r="G254" s="30" t="s">
        <v>1000</v>
      </c>
      <c r="H254" s="28">
        <f>+IF(ISBLANK(I254),0,VLOOKUP(I254,'8Příloha_2_ceník_pravid_úklid'!$B$9:$C$30,2,0))</f>
        <v>6</v>
      </c>
      <c r="I254" s="143" t="s">
        <v>1</v>
      </c>
      <c r="J254" s="245">
        <v>12.67</v>
      </c>
      <c r="K254" s="275" t="s">
        <v>50</v>
      </c>
      <c r="L254" s="156" t="s">
        <v>537</v>
      </c>
      <c r="M254" s="22" t="s">
        <v>49</v>
      </c>
      <c r="N254" s="24">
        <f>IF((VLOOKUP(I254,'8Příloha_2_ceník_pravid_úklid'!$B$9:$I$30,8,0))=0,VLOOKUP(I254,'8Příloha_2_ceník_pravid_úklid'!$B$9:$K$30,10,0),VLOOKUP(I254,'8Příloha_2_ceník_pravid_úklid'!$B$9:$I$30,8,0))</f>
        <v>0</v>
      </c>
      <c r="O254" s="20">
        <v>1</v>
      </c>
      <c r="P254" s="20">
        <v>1</v>
      </c>
      <c r="Q254" s="20">
        <v>1</v>
      </c>
      <c r="R254" s="20">
        <v>1</v>
      </c>
      <c r="S254" s="21">
        <f>NETWORKDAYS.INTL(DATE(2018,1,1),DATE(2018,12,31),1,{"2018/1/1";"2018/3/30";"2018/4/2";"2018/5/1";"2018/5/8";"2018/7/5";"2018/7/6";"2018/09/28";"2018/11/17";"2018/12/24";"2018/12/25";"2018/12/26"})</f>
        <v>250</v>
      </c>
      <c r="T254" s="21">
        <f t="shared" si="17"/>
        <v>115</v>
      </c>
      <c r="U254" s="21">
        <f t="shared" si="18"/>
        <v>365</v>
      </c>
      <c r="V254" s="311">
        <f t="shared" si="19"/>
        <v>365</v>
      </c>
      <c r="W254" s="140">
        <f t="shared" si="20"/>
        <v>0</v>
      </c>
      <c r="X254" s="141">
        <f t="shared" si="21"/>
        <v>0</v>
      </c>
      <c r="Y254" s="141">
        <v>0</v>
      </c>
    </row>
    <row r="255" spans="1:25" ht="15" x14ac:dyDescent="0.2">
      <c r="A255" s="374" t="s">
        <v>1001</v>
      </c>
      <c r="B255" s="236" t="s">
        <v>54</v>
      </c>
      <c r="C255" s="236" t="s">
        <v>268</v>
      </c>
      <c r="D255" s="535" t="str">
        <f>VLOOKUP(C255,'Seznam HS - nemaš'!$A$1:$B$96,2,FALSE)</f>
        <v>487532</v>
      </c>
      <c r="E255" s="237" t="s">
        <v>1002</v>
      </c>
      <c r="F255" s="303" t="s">
        <v>437</v>
      </c>
      <c r="G255" s="303" t="s">
        <v>444</v>
      </c>
      <c r="H255" s="224">
        <f>+IF(ISBLANK(I255),0,VLOOKUP(I255,'8Příloha_2_ceník_pravid_úklid'!$B$9:$C$30,2,0))</f>
        <v>0</v>
      </c>
      <c r="I255" s="273"/>
      <c r="J255" s="241">
        <v>1.5</v>
      </c>
      <c r="K255" s="240"/>
      <c r="L255" s="242" t="s">
        <v>387</v>
      </c>
      <c r="M255" s="237"/>
      <c r="N255" s="229" t="s">
        <v>501</v>
      </c>
      <c r="O255" s="230">
        <v>0</v>
      </c>
      <c r="P255" s="230">
        <v>0</v>
      </c>
      <c r="Q255" s="230">
        <v>0</v>
      </c>
      <c r="R255" s="230">
        <v>0</v>
      </c>
      <c r="S255" s="231">
        <f>NETWORKDAYS.INTL(DATE(2018,1,1),DATE(2018,12,31),1,{"2018/1/1";"2018/3/30";"2018/4/2";"2018/5/1";"2018/5/8";"2018/7/5";"2018/7/6";"2018/09/28";"2018/11/17";"2018/12/24";"2018/12/25";"2018/12/26"})</f>
        <v>250</v>
      </c>
      <c r="T255" s="231">
        <f t="shared" si="17"/>
        <v>115</v>
      </c>
      <c r="U255" s="231">
        <f t="shared" si="18"/>
        <v>365</v>
      </c>
      <c r="V255" s="312">
        <f t="shared" si="19"/>
        <v>0</v>
      </c>
      <c r="W255" s="233">
        <f t="shared" si="20"/>
        <v>0</v>
      </c>
      <c r="X255" s="234">
        <f t="shared" si="21"/>
        <v>0</v>
      </c>
      <c r="Y255" s="234">
        <f t="shared" si="21"/>
        <v>0</v>
      </c>
    </row>
    <row r="256" spans="1:25" ht="15" x14ac:dyDescent="0.2">
      <c r="A256" s="374" t="s">
        <v>1001</v>
      </c>
      <c r="B256" s="236" t="s">
        <v>54</v>
      </c>
      <c r="C256" s="236" t="s">
        <v>268</v>
      </c>
      <c r="D256" s="535" t="str">
        <f>VLOOKUP(C256,'Seznam HS - nemaš'!$A$1:$B$96,2,FALSE)</f>
        <v>487532</v>
      </c>
      <c r="E256" s="237" t="s">
        <v>1003</v>
      </c>
      <c r="F256" s="303" t="s">
        <v>437</v>
      </c>
      <c r="G256" s="303"/>
      <c r="H256" s="224">
        <f>+IF(ISBLANK(I256),0,VLOOKUP(I256,'8Příloha_2_ceník_pravid_úklid'!$B$9:$C$30,2,0))</f>
        <v>0</v>
      </c>
      <c r="I256" s="273"/>
      <c r="J256" s="241">
        <v>1.35</v>
      </c>
      <c r="K256" s="240"/>
      <c r="L256" s="242" t="s">
        <v>387</v>
      </c>
      <c r="M256" s="237"/>
      <c r="N256" s="229" t="s">
        <v>501</v>
      </c>
      <c r="O256" s="230">
        <v>0</v>
      </c>
      <c r="P256" s="230">
        <v>0</v>
      </c>
      <c r="Q256" s="230">
        <v>0</v>
      </c>
      <c r="R256" s="230">
        <v>0</v>
      </c>
      <c r="S256" s="231">
        <f>NETWORKDAYS.INTL(DATE(2018,1,1),DATE(2018,12,31),1,{"2018/1/1";"2018/3/30";"2018/4/2";"2018/5/1";"2018/5/8";"2018/7/5";"2018/7/6";"2018/09/28";"2018/11/17";"2018/12/24";"2018/12/25";"2018/12/26"})</f>
        <v>250</v>
      </c>
      <c r="T256" s="231">
        <f t="shared" si="17"/>
        <v>115</v>
      </c>
      <c r="U256" s="231">
        <f t="shared" si="18"/>
        <v>365</v>
      </c>
      <c r="V256" s="312">
        <f t="shared" si="19"/>
        <v>0</v>
      </c>
      <c r="W256" s="233">
        <f t="shared" si="20"/>
        <v>0</v>
      </c>
      <c r="X256" s="234">
        <f t="shared" si="21"/>
        <v>0</v>
      </c>
      <c r="Y256" s="234">
        <f t="shared" si="21"/>
        <v>0</v>
      </c>
    </row>
    <row r="257" spans="1:25" ht="15" x14ac:dyDescent="0.2">
      <c r="A257" s="374" t="s">
        <v>1001</v>
      </c>
      <c r="B257" s="236" t="s">
        <v>54</v>
      </c>
      <c r="C257" s="236" t="s">
        <v>268</v>
      </c>
      <c r="D257" s="535" t="str">
        <f>VLOOKUP(C257,'Seznam HS - nemaš'!$A$1:$B$96,2,FALSE)</f>
        <v>487532</v>
      </c>
      <c r="E257" s="237" t="s">
        <v>1004</v>
      </c>
      <c r="F257" s="303" t="s">
        <v>437</v>
      </c>
      <c r="G257" s="303" t="s">
        <v>444</v>
      </c>
      <c r="H257" s="224">
        <f>+IF(ISBLANK(I257),0,VLOOKUP(I257,'8Příloha_2_ceník_pravid_úklid'!$B$9:$C$30,2,0))</f>
        <v>0</v>
      </c>
      <c r="I257" s="273"/>
      <c r="J257" s="241">
        <v>1.5</v>
      </c>
      <c r="K257" s="240"/>
      <c r="L257" s="242" t="s">
        <v>387</v>
      </c>
      <c r="M257" s="237"/>
      <c r="N257" s="229" t="s">
        <v>501</v>
      </c>
      <c r="O257" s="230">
        <v>0</v>
      </c>
      <c r="P257" s="230">
        <v>0</v>
      </c>
      <c r="Q257" s="230">
        <v>0</v>
      </c>
      <c r="R257" s="230">
        <v>0</v>
      </c>
      <c r="S257" s="231">
        <f>NETWORKDAYS.INTL(DATE(2018,1,1),DATE(2018,12,31),1,{"2018/1/1";"2018/3/30";"2018/4/2";"2018/5/1";"2018/5/8";"2018/7/5";"2018/7/6";"2018/09/28";"2018/11/17";"2018/12/24";"2018/12/25";"2018/12/26"})</f>
        <v>250</v>
      </c>
      <c r="T257" s="231">
        <f t="shared" si="17"/>
        <v>115</v>
      </c>
      <c r="U257" s="231">
        <f t="shared" si="18"/>
        <v>365</v>
      </c>
      <c r="V257" s="312">
        <f t="shared" si="19"/>
        <v>0</v>
      </c>
      <c r="W257" s="233">
        <f t="shared" si="20"/>
        <v>0</v>
      </c>
      <c r="X257" s="234">
        <f t="shared" si="21"/>
        <v>0</v>
      </c>
      <c r="Y257" s="234">
        <f t="shared" si="21"/>
        <v>0</v>
      </c>
    </row>
    <row r="258" spans="1:25" ht="15" x14ac:dyDescent="0.2">
      <c r="A258" s="374" t="s">
        <v>1001</v>
      </c>
      <c r="B258" s="236" t="s">
        <v>54</v>
      </c>
      <c r="C258" s="236" t="s">
        <v>268</v>
      </c>
      <c r="D258" s="535" t="str">
        <f>VLOOKUP(C258,'Seznam HS - nemaš'!$A$1:$B$96,2,FALSE)</f>
        <v>487532</v>
      </c>
      <c r="E258" s="237" t="s">
        <v>1005</v>
      </c>
      <c r="F258" s="303" t="s">
        <v>437</v>
      </c>
      <c r="G258" s="303"/>
      <c r="H258" s="224">
        <f>+IF(ISBLANK(I258),0,VLOOKUP(I258,'8Příloha_2_ceník_pravid_úklid'!$B$9:$C$30,2,0))</f>
        <v>0</v>
      </c>
      <c r="I258" s="273"/>
      <c r="J258" s="241">
        <v>1.35</v>
      </c>
      <c r="K258" s="240"/>
      <c r="L258" s="242" t="s">
        <v>387</v>
      </c>
      <c r="M258" s="237"/>
      <c r="N258" s="229" t="s">
        <v>501</v>
      </c>
      <c r="O258" s="230">
        <v>0</v>
      </c>
      <c r="P258" s="230">
        <v>0</v>
      </c>
      <c r="Q258" s="230">
        <v>0</v>
      </c>
      <c r="R258" s="230">
        <v>0</v>
      </c>
      <c r="S258" s="231">
        <f>NETWORKDAYS.INTL(DATE(2018,1,1),DATE(2018,12,31),1,{"2018/1/1";"2018/3/30";"2018/4/2";"2018/5/1";"2018/5/8";"2018/7/5";"2018/7/6";"2018/09/28";"2018/11/17";"2018/12/24";"2018/12/25";"2018/12/26"})</f>
        <v>250</v>
      </c>
      <c r="T258" s="231">
        <f t="shared" si="17"/>
        <v>115</v>
      </c>
      <c r="U258" s="231">
        <f t="shared" si="18"/>
        <v>365</v>
      </c>
      <c r="V258" s="312">
        <f t="shared" si="19"/>
        <v>0</v>
      </c>
      <c r="W258" s="233">
        <f t="shared" si="20"/>
        <v>0</v>
      </c>
      <c r="X258" s="234">
        <f t="shared" si="21"/>
        <v>0</v>
      </c>
      <c r="Y258" s="234">
        <f t="shared" si="21"/>
        <v>0</v>
      </c>
    </row>
    <row r="259" spans="1:25" ht="15" x14ac:dyDescent="0.2">
      <c r="A259" s="374" t="s">
        <v>1001</v>
      </c>
      <c r="B259" s="236" t="s">
        <v>54</v>
      </c>
      <c r="C259" s="236" t="s">
        <v>268</v>
      </c>
      <c r="D259" s="535" t="str">
        <f>VLOOKUP(C259,'Seznam HS - nemaš'!$A$1:$B$96,2,FALSE)</f>
        <v>487532</v>
      </c>
      <c r="E259" s="237" t="s">
        <v>1006</v>
      </c>
      <c r="F259" s="303" t="s">
        <v>1007</v>
      </c>
      <c r="G259" s="303"/>
      <c r="H259" s="224">
        <f>+IF(ISBLANK(I259),0,VLOOKUP(I259,'8Příloha_2_ceník_pravid_úklid'!$B$9:$C$30,2,0))</f>
        <v>0</v>
      </c>
      <c r="I259" s="273"/>
      <c r="J259" s="241">
        <v>86.55</v>
      </c>
      <c r="K259" s="240"/>
      <c r="L259" s="242" t="s">
        <v>387</v>
      </c>
      <c r="M259" s="237"/>
      <c r="N259" s="229" t="s">
        <v>501</v>
      </c>
      <c r="O259" s="230">
        <v>0</v>
      </c>
      <c r="P259" s="230">
        <v>0</v>
      </c>
      <c r="Q259" s="230">
        <v>0</v>
      </c>
      <c r="R259" s="230">
        <v>0</v>
      </c>
      <c r="S259" s="231">
        <f>NETWORKDAYS.INTL(DATE(2018,1,1),DATE(2018,12,31),1,{"2018/1/1";"2018/3/30";"2018/4/2";"2018/5/1";"2018/5/8";"2018/7/5";"2018/7/6";"2018/09/28";"2018/11/17";"2018/12/24";"2018/12/25";"2018/12/26"})</f>
        <v>250</v>
      </c>
      <c r="T259" s="231">
        <f t="shared" si="17"/>
        <v>115</v>
      </c>
      <c r="U259" s="231">
        <f t="shared" si="18"/>
        <v>365</v>
      </c>
      <c r="V259" s="312">
        <f t="shared" si="19"/>
        <v>0</v>
      </c>
      <c r="W259" s="233">
        <f t="shared" si="20"/>
        <v>0</v>
      </c>
      <c r="X259" s="234">
        <f t="shared" si="21"/>
        <v>0</v>
      </c>
      <c r="Y259" s="234">
        <f t="shared" si="21"/>
        <v>0</v>
      </c>
    </row>
    <row r="260" spans="1:25" ht="15" x14ac:dyDescent="0.2">
      <c r="A260" s="374" t="s">
        <v>1008</v>
      </c>
      <c r="B260" s="236" t="s">
        <v>54</v>
      </c>
      <c r="C260" s="236" t="s">
        <v>268</v>
      </c>
      <c r="D260" s="535" t="str">
        <f>VLOOKUP(C260,'Seznam HS - nemaš'!$A$1:$B$96,2,FALSE)</f>
        <v>487532</v>
      </c>
      <c r="E260" s="237" t="s">
        <v>1009</v>
      </c>
      <c r="F260" s="303" t="s">
        <v>1010</v>
      </c>
      <c r="G260" s="303" t="s">
        <v>1011</v>
      </c>
      <c r="H260" s="224">
        <f>+IF(ISBLANK(I260),0,VLOOKUP(I260,'8Příloha_2_ceník_pravid_úklid'!$B$9:$C$30,2,0))</f>
        <v>0</v>
      </c>
      <c r="I260" s="273"/>
      <c r="J260" s="239">
        <v>59.2</v>
      </c>
      <c r="K260" s="240"/>
      <c r="L260" s="242" t="s">
        <v>387</v>
      </c>
      <c r="M260" s="237"/>
      <c r="N260" s="229" t="s">
        <v>501</v>
      </c>
      <c r="O260" s="230">
        <v>0</v>
      </c>
      <c r="P260" s="230">
        <v>0</v>
      </c>
      <c r="Q260" s="230">
        <v>0</v>
      </c>
      <c r="R260" s="230">
        <v>0</v>
      </c>
      <c r="S260" s="231">
        <f>NETWORKDAYS.INTL(DATE(2018,1,1),DATE(2018,12,31),1,{"2018/1/1";"2018/3/30";"2018/4/2";"2018/5/1";"2018/5/8";"2018/7/5";"2018/7/6";"2018/09/28";"2018/11/17";"2018/12/24";"2018/12/25";"2018/12/26"})</f>
        <v>250</v>
      </c>
      <c r="T260" s="231">
        <f t="shared" si="17"/>
        <v>115</v>
      </c>
      <c r="U260" s="231">
        <f t="shared" si="18"/>
        <v>365</v>
      </c>
      <c r="V260" s="312">
        <f t="shared" si="19"/>
        <v>0</v>
      </c>
      <c r="W260" s="233">
        <f t="shared" si="20"/>
        <v>0</v>
      </c>
      <c r="X260" s="234">
        <f t="shared" si="21"/>
        <v>0</v>
      </c>
      <c r="Y260" s="234">
        <f t="shared" si="21"/>
        <v>0</v>
      </c>
    </row>
    <row r="261" spans="1:25" ht="15" x14ac:dyDescent="0.2">
      <c r="A261" s="235" t="s">
        <v>1001</v>
      </c>
      <c r="B261" s="236" t="s">
        <v>54</v>
      </c>
      <c r="C261" s="236" t="s">
        <v>268</v>
      </c>
      <c r="D261" s="535" t="str">
        <f>VLOOKUP(C261,'Seznam HS - nemaš'!$A$1:$B$96,2,FALSE)</f>
        <v>487532</v>
      </c>
      <c r="E261" s="237" t="s">
        <v>1012</v>
      </c>
      <c r="F261" s="303" t="s">
        <v>477</v>
      </c>
      <c r="G261" s="303"/>
      <c r="H261" s="224">
        <f>+IF(ISBLANK(I261),0,VLOOKUP(I261,'8Příloha_2_ceník_pravid_úklid'!$B$9:$C$30,2,0))</f>
        <v>0</v>
      </c>
      <c r="I261" s="273"/>
      <c r="J261" s="241">
        <v>3.9</v>
      </c>
      <c r="K261" s="240"/>
      <c r="L261" s="242" t="s">
        <v>387</v>
      </c>
      <c r="M261" s="237"/>
      <c r="N261" s="229" t="s">
        <v>501</v>
      </c>
      <c r="O261" s="230">
        <v>0</v>
      </c>
      <c r="P261" s="230">
        <v>0</v>
      </c>
      <c r="Q261" s="230">
        <v>0</v>
      </c>
      <c r="R261" s="230">
        <v>0</v>
      </c>
      <c r="S261" s="231">
        <f>NETWORKDAYS.INTL(DATE(2018,1,1),DATE(2018,12,31),1,{"2018/1/1";"2018/3/30";"2018/4/2";"2018/5/1";"2018/5/8";"2018/7/5";"2018/7/6";"2018/09/28";"2018/11/17";"2018/12/24";"2018/12/25";"2018/12/26"})</f>
        <v>250</v>
      </c>
      <c r="T261" s="231">
        <f t="shared" si="17"/>
        <v>115</v>
      </c>
      <c r="U261" s="231">
        <f t="shared" si="18"/>
        <v>365</v>
      </c>
      <c r="V261" s="312">
        <f t="shared" si="19"/>
        <v>0</v>
      </c>
      <c r="W261" s="233">
        <f t="shared" si="20"/>
        <v>0</v>
      </c>
      <c r="X261" s="234">
        <f t="shared" si="21"/>
        <v>0</v>
      </c>
      <c r="Y261" s="234">
        <f t="shared" si="21"/>
        <v>0</v>
      </c>
    </row>
    <row r="262" spans="1:25" ht="15" x14ac:dyDescent="0.2">
      <c r="A262" s="235" t="s">
        <v>1001</v>
      </c>
      <c r="B262" s="236" t="s">
        <v>54</v>
      </c>
      <c r="C262" s="236" t="s">
        <v>268</v>
      </c>
      <c r="D262" s="535" t="str">
        <f>VLOOKUP(C262,'Seznam HS - nemaš'!$A$1:$B$96,2,FALSE)</f>
        <v>487532</v>
      </c>
      <c r="E262" s="237" t="s">
        <v>1013</v>
      </c>
      <c r="F262" s="303" t="s">
        <v>558</v>
      </c>
      <c r="G262" s="303"/>
      <c r="H262" s="224">
        <f>+IF(ISBLANK(I262),0,VLOOKUP(I262,'8Příloha_2_ceník_pravid_úklid'!$B$9:$C$30,2,0))</f>
        <v>0</v>
      </c>
      <c r="I262" s="273"/>
      <c r="J262" s="241">
        <v>3.15</v>
      </c>
      <c r="K262" s="240"/>
      <c r="L262" s="242" t="s">
        <v>387</v>
      </c>
      <c r="M262" s="237"/>
      <c r="N262" s="229" t="s">
        <v>501</v>
      </c>
      <c r="O262" s="230">
        <v>0</v>
      </c>
      <c r="P262" s="230">
        <v>0</v>
      </c>
      <c r="Q262" s="230">
        <v>0</v>
      </c>
      <c r="R262" s="230">
        <v>0</v>
      </c>
      <c r="S262" s="231">
        <f>NETWORKDAYS.INTL(DATE(2018,1,1),DATE(2018,12,31),1,{"2018/1/1";"2018/3/30";"2018/4/2";"2018/5/1";"2018/5/8";"2018/7/5";"2018/7/6";"2018/09/28";"2018/11/17";"2018/12/24";"2018/12/25";"2018/12/26"})</f>
        <v>250</v>
      </c>
      <c r="T262" s="231">
        <f t="shared" ref="T262:T325" si="23">U262-S262</f>
        <v>115</v>
      </c>
      <c r="U262" s="231">
        <f t="shared" ref="U262:U325" si="24">_xlfn.DAYS("1.1.2019","1.1.2018")</f>
        <v>365</v>
      </c>
      <c r="V262" s="312">
        <f t="shared" ref="V262:V325" si="25">ROUND(O262*P262*S262+Q262*R262*T262,2)</f>
        <v>0</v>
      </c>
      <c r="W262" s="233">
        <f t="shared" ref="W262:W325" si="26">ROUND(IF(N262="neoceňuje se",+J262*0*V262,J262*N262*V262),2)</f>
        <v>0</v>
      </c>
      <c r="X262" s="234">
        <f t="shared" ref="X262:Y325" si="27">ROUND(W262*1.21,2)</f>
        <v>0</v>
      </c>
      <c r="Y262" s="234">
        <f t="shared" si="27"/>
        <v>0</v>
      </c>
    </row>
    <row r="263" spans="1:25" ht="15" x14ac:dyDescent="0.2">
      <c r="A263" s="235" t="s">
        <v>1001</v>
      </c>
      <c r="B263" s="236" t="s">
        <v>54</v>
      </c>
      <c r="C263" s="236" t="s">
        <v>268</v>
      </c>
      <c r="D263" s="535" t="str">
        <f>VLOOKUP(C263,'Seznam HS - nemaš'!$A$1:$B$96,2,FALSE)</f>
        <v>487532</v>
      </c>
      <c r="E263" s="237" t="s">
        <v>1014</v>
      </c>
      <c r="F263" s="303" t="s">
        <v>389</v>
      </c>
      <c r="G263" s="303"/>
      <c r="H263" s="224">
        <f>+IF(ISBLANK(I263),0,VLOOKUP(I263,'8Příloha_2_ceník_pravid_úklid'!$B$9:$C$30,2,0))</f>
        <v>0</v>
      </c>
      <c r="I263" s="273"/>
      <c r="J263" s="241">
        <v>2.56</v>
      </c>
      <c r="K263" s="240"/>
      <c r="L263" s="242" t="s">
        <v>387</v>
      </c>
      <c r="M263" s="237"/>
      <c r="N263" s="229" t="s">
        <v>501</v>
      </c>
      <c r="O263" s="230">
        <v>0</v>
      </c>
      <c r="P263" s="230">
        <v>0</v>
      </c>
      <c r="Q263" s="230">
        <v>0</v>
      </c>
      <c r="R263" s="230">
        <v>0</v>
      </c>
      <c r="S263" s="231">
        <f>NETWORKDAYS.INTL(DATE(2018,1,1),DATE(2018,12,31),1,{"2018/1/1";"2018/3/30";"2018/4/2";"2018/5/1";"2018/5/8";"2018/7/5";"2018/7/6";"2018/09/28";"2018/11/17";"2018/12/24";"2018/12/25";"2018/12/26"})</f>
        <v>250</v>
      </c>
      <c r="T263" s="231">
        <f t="shared" si="23"/>
        <v>115</v>
      </c>
      <c r="U263" s="231">
        <f t="shared" si="24"/>
        <v>365</v>
      </c>
      <c r="V263" s="312">
        <f t="shared" si="25"/>
        <v>0</v>
      </c>
      <c r="W263" s="233">
        <f t="shared" si="26"/>
        <v>0</v>
      </c>
      <c r="X263" s="234">
        <f t="shared" si="27"/>
        <v>0</v>
      </c>
      <c r="Y263" s="234">
        <f t="shared" si="27"/>
        <v>0</v>
      </c>
    </row>
    <row r="264" spans="1:25" ht="15" x14ac:dyDescent="0.2">
      <c r="A264" s="235" t="s">
        <v>1001</v>
      </c>
      <c r="B264" s="236" t="s">
        <v>54</v>
      </c>
      <c r="C264" s="236" t="s">
        <v>268</v>
      </c>
      <c r="D264" s="535" t="str">
        <f>VLOOKUP(C264,'Seznam HS - nemaš'!$A$1:$B$96,2,FALSE)</f>
        <v>487532</v>
      </c>
      <c r="E264" s="237" t="s">
        <v>1015</v>
      </c>
      <c r="F264" s="303" t="s">
        <v>53</v>
      </c>
      <c r="G264" s="303"/>
      <c r="H264" s="224">
        <f>+IF(ISBLANK(I264),0,VLOOKUP(I264,'8Příloha_2_ceník_pravid_úklid'!$B$9:$C$30,2,0))</f>
        <v>0</v>
      </c>
      <c r="I264" s="273"/>
      <c r="J264" s="241">
        <v>2.5</v>
      </c>
      <c r="K264" s="240"/>
      <c r="L264" s="242" t="s">
        <v>387</v>
      </c>
      <c r="M264" s="237"/>
      <c r="N264" s="229" t="s">
        <v>501</v>
      </c>
      <c r="O264" s="230">
        <v>0</v>
      </c>
      <c r="P264" s="230">
        <v>0</v>
      </c>
      <c r="Q264" s="230">
        <v>0</v>
      </c>
      <c r="R264" s="230">
        <v>0</v>
      </c>
      <c r="S264" s="231">
        <f>NETWORKDAYS.INTL(DATE(2018,1,1),DATE(2018,12,31),1,{"2018/1/1";"2018/3/30";"2018/4/2";"2018/5/1";"2018/5/8";"2018/7/5";"2018/7/6";"2018/09/28";"2018/11/17";"2018/12/24";"2018/12/25";"2018/12/26"})</f>
        <v>250</v>
      </c>
      <c r="T264" s="231">
        <f t="shared" si="23"/>
        <v>115</v>
      </c>
      <c r="U264" s="231">
        <f t="shared" si="24"/>
        <v>365</v>
      </c>
      <c r="V264" s="312">
        <f t="shared" si="25"/>
        <v>0</v>
      </c>
      <c r="W264" s="233">
        <f t="shared" si="26"/>
        <v>0</v>
      </c>
      <c r="X264" s="234">
        <f t="shared" si="27"/>
        <v>0</v>
      </c>
      <c r="Y264" s="234">
        <f t="shared" si="27"/>
        <v>0</v>
      </c>
    </row>
    <row r="265" spans="1:25" ht="15" x14ac:dyDescent="0.2">
      <c r="A265" s="235" t="s">
        <v>1001</v>
      </c>
      <c r="B265" s="236" t="s">
        <v>54</v>
      </c>
      <c r="C265" s="236" t="s">
        <v>268</v>
      </c>
      <c r="D265" s="535" t="str">
        <f>VLOOKUP(C265,'Seznam HS - nemaš'!$A$1:$B$96,2,FALSE)</f>
        <v>487532</v>
      </c>
      <c r="E265" s="237" t="s">
        <v>1016</v>
      </c>
      <c r="F265" s="303" t="s">
        <v>554</v>
      </c>
      <c r="G265" s="303"/>
      <c r="H265" s="224">
        <f>+IF(ISBLANK(I265),0,VLOOKUP(I265,'8Příloha_2_ceník_pravid_úklid'!$B$9:$C$30,2,0))</f>
        <v>0</v>
      </c>
      <c r="I265" s="273"/>
      <c r="J265" s="241">
        <v>1.37</v>
      </c>
      <c r="K265" s="240"/>
      <c r="L265" s="242" t="s">
        <v>66</v>
      </c>
      <c r="M265" s="237"/>
      <c r="N265" s="229" t="s">
        <v>501</v>
      </c>
      <c r="O265" s="230">
        <v>0</v>
      </c>
      <c r="P265" s="230">
        <v>0</v>
      </c>
      <c r="Q265" s="230">
        <v>0</v>
      </c>
      <c r="R265" s="230">
        <v>0</v>
      </c>
      <c r="S265" s="231">
        <f>NETWORKDAYS.INTL(DATE(2018,1,1),DATE(2018,12,31),1,{"2018/1/1";"2018/3/30";"2018/4/2";"2018/5/1";"2018/5/8";"2018/7/5";"2018/7/6";"2018/09/28";"2018/11/17";"2018/12/24";"2018/12/25";"2018/12/26"})</f>
        <v>250</v>
      </c>
      <c r="T265" s="231">
        <f t="shared" si="23"/>
        <v>115</v>
      </c>
      <c r="U265" s="231">
        <f t="shared" si="24"/>
        <v>365</v>
      </c>
      <c r="V265" s="312">
        <f t="shared" si="25"/>
        <v>0</v>
      </c>
      <c r="W265" s="233">
        <f t="shared" si="26"/>
        <v>0</v>
      </c>
      <c r="X265" s="234">
        <f t="shared" si="27"/>
        <v>0</v>
      </c>
      <c r="Y265" s="234">
        <f t="shared" si="27"/>
        <v>0</v>
      </c>
    </row>
    <row r="266" spans="1:25" ht="15" x14ac:dyDescent="0.2">
      <c r="A266" s="235" t="s">
        <v>1001</v>
      </c>
      <c r="B266" s="236" t="s">
        <v>54</v>
      </c>
      <c r="C266" s="236" t="s">
        <v>268</v>
      </c>
      <c r="D266" s="535" t="str">
        <f>VLOOKUP(C266,'Seznam HS - nemaš'!$A$1:$B$96,2,FALSE)</f>
        <v>487532</v>
      </c>
      <c r="E266" s="237" t="s">
        <v>1017</v>
      </c>
      <c r="F266" s="303" t="s">
        <v>437</v>
      </c>
      <c r="G266" s="303" t="s">
        <v>444</v>
      </c>
      <c r="H266" s="224">
        <f>+IF(ISBLANK(I266),0,VLOOKUP(I266,'8Příloha_2_ceník_pravid_úklid'!$B$9:$C$30,2,0))</f>
        <v>0</v>
      </c>
      <c r="I266" s="273"/>
      <c r="J266" s="241">
        <v>1.35</v>
      </c>
      <c r="K266" s="240"/>
      <c r="L266" s="242" t="s">
        <v>387</v>
      </c>
      <c r="M266" s="237"/>
      <c r="N266" s="229" t="s">
        <v>501</v>
      </c>
      <c r="O266" s="230">
        <v>0</v>
      </c>
      <c r="P266" s="230">
        <v>0</v>
      </c>
      <c r="Q266" s="230">
        <v>0</v>
      </c>
      <c r="R266" s="230">
        <v>0</v>
      </c>
      <c r="S266" s="231">
        <f>NETWORKDAYS.INTL(DATE(2018,1,1),DATE(2018,12,31),1,{"2018/1/1";"2018/3/30";"2018/4/2";"2018/5/1";"2018/5/8";"2018/7/5";"2018/7/6";"2018/09/28";"2018/11/17";"2018/12/24";"2018/12/25";"2018/12/26"})</f>
        <v>250</v>
      </c>
      <c r="T266" s="231">
        <f t="shared" si="23"/>
        <v>115</v>
      </c>
      <c r="U266" s="231">
        <f t="shared" si="24"/>
        <v>365</v>
      </c>
      <c r="V266" s="312">
        <f t="shared" si="25"/>
        <v>0</v>
      </c>
      <c r="W266" s="233">
        <f t="shared" si="26"/>
        <v>0</v>
      </c>
      <c r="X266" s="234">
        <f t="shared" si="27"/>
        <v>0</v>
      </c>
      <c r="Y266" s="234">
        <f t="shared" si="27"/>
        <v>0</v>
      </c>
    </row>
    <row r="267" spans="1:25" ht="15" x14ac:dyDescent="0.2">
      <c r="A267" s="235" t="s">
        <v>1001</v>
      </c>
      <c r="B267" s="236" t="s">
        <v>54</v>
      </c>
      <c r="C267" s="236" t="s">
        <v>268</v>
      </c>
      <c r="D267" s="535" t="str">
        <f>VLOOKUP(C267,'Seznam HS - nemaš'!$A$1:$B$96,2,FALSE)</f>
        <v>487532</v>
      </c>
      <c r="E267" s="237" t="s">
        <v>1018</v>
      </c>
      <c r="F267" s="303" t="s">
        <v>437</v>
      </c>
      <c r="G267" s="303"/>
      <c r="H267" s="224">
        <f>+IF(ISBLANK(I267),0,VLOOKUP(I267,'8Příloha_2_ceník_pravid_úklid'!$B$9:$C$30,2,0))</f>
        <v>0</v>
      </c>
      <c r="I267" s="273"/>
      <c r="J267" s="241">
        <v>1.5</v>
      </c>
      <c r="K267" s="240"/>
      <c r="L267" s="242" t="s">
        <v>387</v>
      </c>
      <c r="M267" s="237"/>
      <c r="N267" s="229" t="s">
        <v>501</v>
      </c>
      <c r="O267" s="230">
        <v>0</v>
      </c>
      <c r="P267" s="230">
        <v>0</v>
      </c>
      <c r="Q267" s="230">
        <v>0</v>
      </c>
      <c r="R267" s="230">
        <v>0</v>
      </c>
      <c r="S267" s="231">
        <f>NETWORKDAYS.INTL(DATE(2018,1,1),DATE(2018,12,31),1,{"2018/1/1";"2018/3/30";"2018/4/2";"2018/5/1";"2018/5/8";"2018/7/5";"2018/7/6";"2018/09/28";"2018/11/17";"2018/12/24";"2018/12/25";"2018/12/26"})</f>
        <v>250</v>
      </c>
      <c r="T267" s="231">
        <f t="shared" si="23"/>
        <v>115</v>
      </c>
      <c r="U267" s="231">
        <f t="shared" si="24"/>
        <v>365</v>
      </c>
      <c r="V267" s="312">
        <f t="shared" si="25"/>
        <v>0</v>
      </c>
      <c r="W267" s="233">
        <f t="shared" si="26"/>
        <v>0</v>
      </c>
      <c r="X267" s="234">
        <f t="shared" si="27"/>
        <v>0</v>
      </c>
      <c r="Y267" s="234">
        <f t="shared" si="27"/>
        <v>0</v>
      </c>
    </row>
    <row r="268" spans="1:25" ht="15" x14ac:dyDescent="0.2">
      <c r="A268" s="235" t="s">
        <v>1001</v>
      </c>
      <c r="B268" s="236" t="s">
        <v>54</v>
      </c>
      <c r="C268" s="236" t="s">
        <v>268</v>
      </c>
      <c r="D268" s="535" t="str">
        <f>VLOOKUP(C268,'Seznam HS - nemaš'!$A$1:$B$96,2,FALSE)</f>
        <v>487532</v>
      </c>
      <c r="E268" s="237" t="s">
        <v>1019</v>
      </c>
      <c r="F268" s="303" t="s">
        <v>494</v>
      </c>
      <c r="G268" s="303"/>
      <c r="H268" s="224">
        <f>+IF(ISBLANK(I268),0,VLOOKUP(I268,'8Příloha_2_ceník_pravid_úklid'!$B$9:$C$30,2,0))</f>
        <v>0</v>
      </c>
      <c r="I268" s="273"/>
      <c r="J268" s="241">
        <v>3</v>
      </c>
      <c r="K268" s="240"/>
      <c r="L268" s="242" t="s">
        <v>387</v>
      </c>
      <c r="M268" s="237"/>
      <c r="N268" s="229" t="s">
        <v>501</v>
      </c>
      <c r="O268" s="230">
        <v>0</v>
      </c>
      <c r="P268" s="230">
        <v>0</v>
      </c>
      <c r="Q268" s="230">
        <v>0</v>
      </c>
      <c r="R268" s="230">
        <v>0</v>
      </c>
      <c r="S268" s="231">
        <f>NETWORKDAYS.INTL(DATE(2018,1,1),DATE(2018,12,31),1,{"2018/1/1";"2018/3/30";"2018/4/2";"2018/5/1";"2018/5/8";"2018/7/5";"2018/7/6";"2018/09/28";"2018/11/17";"2018/12/24";"2018/12/25";"2018/12/26"})</f>
        <v>250</v>
      </c>
      <c r="T268" s="231">
        <f t="shared" si="23"/>
        <v>115</v>
      </c>
      <c r="U268" s="231">
        <f t="shared" si="24"/>
        <v>365</v>
      </c>
      <c r="V268" s="312">
        <f t="shared" si="25"/>
        <v>0</v>
      </c>
      <c r="W268" s="233">
        <f t="shared" si="26"/>
        <v>0</v>
      </c>
      <c r="X268" s="234">
        <f t="shared" si="27"/>
        <v>0</v>
      </c>
      <c r="Y268" s="234">
        <f t="shared" si="27"/>
        <v>0</v>
      </c>
    </row>
    <row r="269" spans="1:25" ht="15" x14ac:dyDescent="0.2">
      <c r="A269" s="235" t="s">
        <v>1001</v>
      </c>
      <c r="B269" s="236" t="s">
        <v>54</v>
      </c>
      <c r="C269" s="236"/>
      <c r="D269" s="535">
        <f>VLOOKUP(C269,'Seznam HS - nemaš'!$A$1:$B$96,2,FALSE)</f>
        <v>0</v>
      </c>
      <c r="E269" s="237" t="s">
        <v>1020</v>
      </c>
      <c r="F269" s="303" t="s">
        <v>398</v>
      </c>
      <c r="G269" s="303"/>
      <c r="H269" s="224">
        <f>+IF(ISBLANK(I269),0,VLOOKUP(I269,'8Příloha_2_ceník_pravid_úklid'!$B$9:$C$30,2,0))</f>
        <v>0</v>
      </c>
      <c r="I269" s="273"/>
      <c r="J269" s="241"/>
      <c r="K269" s="240"/>
      <c r="L269" s="242" t="s">
        <v>387</v>
      </c>
      <c r="M269" s="237"/>
      <c r="N269" s="229" t="s">
        <v>501</v>
      </c>
      <c r="O269" s="230">
        <v>0</v>
      </c>
      <c r="P269" s="230">
        <v>0</v>
      </c>
      <c r="Q269" s="230">
        <v>0</v>
      </c>
      <c r="R269" s="230">
        <v>0</v>
      </c>
      <c r="S269" s="231">
        <f>NETWORKDAYS.INTL(DATE(2018,1,1),DATE(2018,12,31),1,{"2018/1/1";"2018/3/30";"2018/4/2";"2018/5/1";"2018/5/8";"2018/7/5";"2018/7/6";"2018/09/28";"2018/11/17";"2018/12/24";"2018/12/25";"2018/12/26"})</f>
        <v>250</v>
      </c>
      <c r="T269" s="231">
        <f t="shared" si="23"/>
        <v>115</v>
      </c>
      <c r="U269" s="231">
        <f t="shared" si="24"/>
        <v>365</v>
      </c>
      <c r="V269" s="312">
        <f t="shared" si="25"/>
        <v>0</v>
      </c>
      <c r="W269" s="233">
        <f t="shared" si="26"/>
        <v>0</v>
      </c>
      <c r="X269" s="234">
        <f t="shared" si="27"/>
        <v>0</v>
      </c>
      <c r="Y269" s="234">
        <f t="shared" si="27"/>
        <v>0</v>
      </c>
    </row>
    <row r="270" spans="1:25" ht="15" x14ac:dyDescent="0.2">
      <c r="A270" s="353" t="s">
        <v>767</v>
      </c>
      <c r="B270" s="23" t="s">
        <v>54</v>
      </c>
      <c r="C270" s="23"/>
      <c r="D270" s="139">
        <f>VLOOKUP(C270,'Seznam HS - nemaš'!$A$1:$B$96,2,FALSE)</f>
        <v>0</v>
      </c>
      <c r="E270" s="22" t="s">
        <v>1021</v>
      </c>
      <c r="F270" s="30" t="s">
        <v>53</v>
      </c>
      <c r="G270" s="30" t="s">
        <v>1022</v>
      </c>
      <c r="H270" s="28">
        <f>+IF(ISBLANK(I270),0,VLOOKUP(I270,'8Příloha_2_ceník_pravid_úklid'!$B$9:$C$30,2,0))</f>
        <v>6</v>
      </c>
      <c r="I270" s="143" t="s">
        <v>1</v>
      </c>
      <c r="J270" s="245">
        <v>95.67</v>
      </c>
      <c r="K270" s="275" t="s">
        <v>50</v>
      </c>
      <c r="L270" s="30" t="s">
        <v>956</v>
      </c>
      <c r="M270" s="22" t="s">
        <v>771</v>
      </c>
      <c r="N270" s="24">
        <f>IF((VLOOKUP(I270,'8Příloha_2_ceník_pravid_úklid'!$B$9:$I$30,8,0))=0,VLOOKUP(I270,'8Příloha_2_ceník_pravid_úklid'!$B$9:$K$30,10,0),VLOOKUP(I270,'8Příloha_2_ceník_pravid_úklid'!$B$9:$I$30,8,0))</f>
        <v>0</v>
      </c>
      <c r="O270" s="20">
        <v>2</v>
      </c>
      <c r="P270" s="20">
        <v>1</v>
      </c>
      <c r="Q270" s="20">
        <v>1</v>
      </c>
      <c r="R270" s="20">
        <v>1</v>
      </c>
      <c r="S270" s="21">
        <f>NETWORKDAYS.INTL(DATE(2018,1,1),DATE(2018,12,31),1,{"2018/1/1";"2018/3/30";"2018/4/2";"2018/5/1";"2018/5/8";"2018/7/5";"2018/7/6";"2018/09/28";"2018/11/17";"2018/12/24";"2018/12/25";"2018/12/26"})</f>
        <v>250</v>
      </c>
      <c r="T270" s="21">
        <f t="shared" si="23"/>
        <v>115</v>
      </c>
      <c r="U270" s="21">
        <f t="shared" si="24"/>
        <v>365</v>
      </c>
      <c r="V270" s="311">
        <f t="shared" si="25"/>
        <v>615</v>
      </c>
      <c r="W270" s="140">
        <f t="shared" si="26"/>
        <v>0</v>
      </c>
      <c r="X270" s="141">
        <f t="shared" si="27"/>
        <v>0</v>
      </c>
      <c r="Y270" s="141">
        <v>0</v>
      </c>
    </row>
    <row r="271" spans="1:25" ht="15" x14ac:dyDescent="0.2">
      <c r="A271" s="382" t="s">
        <v>670</v>
      </c>
      <c r="B271" s="383" t="s">
        <v>54</v>
      </c>
      <c r="C271" s="383"/>
      <c r="D271" s="535">
        <f>VLOOKUP(C271,'Seznam HS - nemaš'!$A$1:$B$96,2,FALSE)</f>
        <v>0</v>
      </c>
      <c r="E271" s="383" t="s">
        <v>1023</v>
      </c>
      <c r="F271" s="384" t="s">
        <v>336</v>
      </c>
      <c r="G271" s="384" t="s">
        <v>1024</v>
      </c>
      <c r="H271" s="224">
        <f>+IF(ISBLANK(I271),0,VLOOKUP(I271,'8Příloha_2_ceník_pravid_úklid'!$B$9:$C$30,2,0))</f>
        <v>0</v>
      </c>
      <c r="I271" s="385"/>
      <c r="J271" s="386">
        <v>13.56</v>
      </c>
      <c r="K271" s="387"/>
      <c r="L271" s="387" t="s">
        <v>387</v>
      </c>
      <c r="M271" s="383"/>
      <c r="N271" s="229" t="s">
        <v>501</v>
      </c>
      <c r="O271" s="230">
        <v>0</v>
      </c>
      <c r="P271" s="230">
        <v>0</v>
      </c>
      <c r="Q271" s="230">
        <v>0</v>
      </c>
      <c r="R271" s="230">
        <v>0</v>
      </c>
      <c r="S271" s="231">
        <f>NETWORKDAYS.INTL(DATE(2018,1,1),DATE(2018,12,31),1,{"2018/1/1";"2018/3/30";"2018/4/2";"2018/5/1";"2018/5/8";"2018/7/5";"2018/7/6";"2018/09/28";"2018/11/17";"2018/12/24";"2018/12/25";"2018/12/26"})</f>
        <v>250</v>
      </c>
      <c r="T271" s="231">
        <f t="shared" si="23"/>
        <v>115</v>
      </c>
      <c r="U271" s="231">
        <f t="shared" si="24"/>
        <v>365</v>
      </c>
      <c r="V271" s="312">
        <f t="shared" si="25"/>
        <v>0</v>
      </c>
      <c r="W271" s="233">
        <f t="shared" si="26"/>
        <v>0</v>
      </c>
      <c r="X271" s="234">
        <f t="shared" si="27"/>
        <v>0</v>
      </c>
      <c r="Y271" s="234">
        <f t="shared" si="27"/>
        <v>0</v>
      </c>
    </row>
    <row r="272" spans="1:25" ht="15" x14ac:dyDescent="0.2">
      <c r="A272" s="382" t="s">
        <v>670</v>
      </c>
      <c r="B272" s="383" t="s">
        <v>54</v>
      </c>
      <c r="C272" s="383"/>
      <c r="D272" s="535">
        <f>VLOOKUP(C272,'Seznam HS - nemaš'!$A$1:$B$96,2,FALSE)</f>
        <v>0</v>
      </c>
      <c r="E272" s="383" t="s">
        <v>1025</v>
      </c>
      <c r="F272" s="384" t="s">
        <v>336</v>
      </c>
      <c r="G272" s="384" t="s">
        <v>830</v>
      </c>
      <c r="H272" s="224">
        <f>+IF(ISBLANK(I272),0,VLOOKUP(I272,'8Příloha_2_ceník_pravid_úklid'!$B$9:$C$30,2,0))</f>
        <v>0</v>
      </c>
      <c r="I272" s="385"/>
      <c r="J272" s="386">
        <v>18.510000000000002</v>
      </c>
      <c r="K272" s="387"/>
      <c r="L272" s="387" t="s">
        <v>387</v>
      </c>
      <c r="M272" s="383"/>
      <c r="N272" s="229" t="s">
        <v>501</v>
      </c>
      <c r="O272" s="230">
        <v>0</v>
      </c>
      <c r="P272" s="230">
        <v>0</v>
      </c>
      <c r="Q272" s="230">
        <v>0</v>
      </c>
      <c r="R272" s="230">
        <v>0</v>
      </c>
      <c r="S272" s="231">
        <f>NETWORKDAYS.INTL(DATE(2018,1,1),DATE(2018,12,31),1,{"2018/1/1";"2018/3/30";"2018/4/2";"2018/5/1";"2018/5/8";"2018/7/5";"2018/7/6";"2018/09/28";"2018/11/17";"2018/12/24";"2018/12/25";"2018/12/26"})</f>
        <v>250</v>
      </c>
      <c r="T272" s="231">
        <f t="shared" si="23"/>
        <v>115</v>
      </c>
      <c r="U272" s="231">
        <f t="shared" si="24"/>
        <v>365</v>
      </c>
      <c r="V272" s="312">
        <f t="shared" si="25"/>
        <v>0</v>
      </c>
      <c r="W272" s="233">
        <f t="shared" si="26"/>
        <v>0</v>
      </c>
      <c r="X272" s="234">
        <f t="shared" si="27"/>
        <v>0</v>
      </c>
      <c r="Y272" s="234">
        <f t="shared" si="27"/>
        <v>0</v>
      </c>
    </row>
    <row r="273" spans="1:25" ht="15" x14ac:dyDescent="0.2">
      <c r="A273" s="276" t="s">
        <v>767</v>
      </c>
      <c r="B273" s="23" t="s">
        <v>54</v>
      </c>
      <c r="C273" s="23"/>
      <c r="D273" s="139">
        <f>VLOOKUP(C273,'Seznam HS - nemaš'!$A$1:$B$96,2,FALSE)</f>
        <v>0</v>
      </c>
      <c r="E273" s="22" t="s">
        <v>1026</v>
      </c>
      <c r="F273" s="30" t="s">
        <v>397</v>
      </c>
      <c r="G273" s="30" t="s">
        <v>1027</v>
      </c>
      <c r="H273" s="28">
        <f>+IF(ISBLANK(I273),0,VLOOKUP(I273,'8Příloha_2_ceník_pravid_úklid'!$B$9:$C$30,2,0))</f>
        <v>6</v>
      </c>
      <c r="I273" s="143" t="s">
        <v>1</v>
      </c>
      <c r="J273" s="245">
        <v>12.57</v>
      </c>
      <c r="K273" s="275" t="s">
        <v>50</v>
      </c>
      <c r="L273" s="156" t="s">
        <v>537</v>
      </c>
      <c r="M273" s="22" t="s">
        <v>49</v>
      </c>
      <c r="N273" s="24">
        <f>IF((VLOOKUP(I273,'8Příloha_2_ceník_pravid_úklid'!$B$9:$I$30,8,0))=0,VLOOKUP(I273,'8Příloha_2_ceník_pravid_úklid'!$B$9:$K$30,10,0),VLOOKUP(I273,'8Příloha_2_ceník_pravid_úklid'!$B$9:$I$30,8,0))</f>
        <v>0</v>
      </c>
      <c r="O273" s="20">
        <v>1</v>
      </c>
      <c r="P273" s="20">
        <v>1</v>
      </c>
      <c r="Q273" s="20">
        <v>1</v>
      </c>
      <c r="R273" s="20">
        <v>1</v>
      </c>
      <c r="S273" s="21">
        <f>NETWORKDAYS.INTL(DATE(2018,1,1),DATE(2018,12,31),1,{"2018/1/1";"2018/3/30";"2018/4/2";"2018/5/1";"2018/5/8";"2018/7/5";"2018/7/6";"2018/09/28";"2018/11/17";"2018/12/24";"2018/12/25";"2018/12/26"})</f>
        <v>250</v>
      </c>
      <c r="T273" s="21">
        <f t="shared" si="23"/>
        <v>115</v>
      </c>
      <c r="U273" s="21">
        <f t="shared" si="24"/>
        <v>365</v>
      </c>
      <c r="V273" s="311">
        <f t="shared" si="25"/>
        <v>365</v>
      </c>
      <c r="W273" s="140">
        <f t="shared" si="26"/>
        <v>0</v>
      </c>
      <c r="X273" s="141">
        <f t="shared" si="27"/>
        <v>0</v>
      </c>
      <c r="Y273" s="141">
        <v>0</v>
      </c>
    </row>
    <row r="274" spans="1:25" ht="15" x14ac:dyDescent="0.2">
      <c r="A274" s="276" t="s">
        <v>1028</v>
      </c>
      <c r="B274" s="23" t="s">
        <v>54</v>
      </c>
      <c r="C274" s="23" t="s">
        <v>191</v>
      </c>
      <c r="D274" s="139" t="str">
        <f>VLOOKUP(C274,'Seznam HS - nemaš'!$A$1:$B$96,2,FALSE)</f>
        <v>430400</v>
      </c>
      <c r="E274" s="22" t="s">
        <v>1029</v>
      </c>
      <c r="F274" s="30" t="s">
        <v>548</v>
      </c>
      <c r="G274" s="30"/>
      <c r="H274" s="28">
        <f>+IF(ISBLANK(I274),0,VLOOKUP(I274,'8Příloha_2_ceník_pravid_úklid'!$B$9:$C$30,2,0))</f>
        <v>4</v>
      </c>
      <c r="I274" s="143" t="s">
        <v>9</v>
      </c>
      <c r="J274" s="145">
        <v>10.87</v>
      </c>
      <c r="K274" s="275" t="s">
        <v>51</v>
      </c>
      <c r="L274" s="30" t="s">
        <v>956</v>
      </c>
      <c r="M274" s="22" t="s">
        <v>49</v>
      </c>
      <c r="N274" s="24">
        <f>IF((VLOOKUP(I274,'8Příloha_2_ceník_pravid_úklid'!$B$9:$I$30,8,0))=0,VLOOKUP(I274,'8Příloha_2_ceník_pravid_úklid'!$B$9:$K$30,10,0),VLOOKUP(I274,'8Příloha_2_ceník_pravid_úklid'!$B$9:$I$30,8,0))</f>
        <v>0</v>
      </c>
      <c r="O274" s="20">
        <v>2</v>
      </c>
      <c r="P274" s="20">
        <v>1</v>
      </c>
      <c r="Q274" s="20">
        <v>1</v>
      </c>
      <c r="R274" s="20">
        <v>1</v>
      </c>
      <c r="S274" s="21">
        <f>NETWORKDAYS.INTL(DATE(2018,1,1),DATE(2018,12,31),1,{"2018/1/1";"2018/3/30";"2018/4/2";"2018/5/1";"2018/5/8";"2018/7/5";"2018/7/6";"2018/09/28";"2018/11/17";"2018/12/24";"2018/12/25";"2018/12/26"})</f>
        <v>250</v>
      </c>
      <c r="T274" s="21">
        <f t="shared" si="23"/>
        <v>115</v>
      </c>
      <c r="U274" s="21">
        <f t="shared" si="24"/>
        <v>365</v>
      </c>
      <c r="V274" s="311">
        <f t="shared" si="25"/>
        <v>615</v>
      </c>
      <c r="W274" s="140">
        <f t="shared" si="26"/>
        <v>0</v>
      </c>
      <c r="X274" s="141">
        <f t="shared" si="27"/>
        <v>0</v>
      </c>
      <c r="Y274" s="141">
        <v>0</v>
      </c>
    </row>
    <row r="275" spans="1:25" ht="15" x14ac:dyDescent="0.2">
      <c r="A275" s="276" t="s">
        <v>1028</v>
      </c>
      <c r="B275" s="23" t="s">
        <v>54</v>
      </c>
      <c r="C275" s="23" t="s">
        <v>191</v>
      </c>
      <c r="D275" s="139" t="str">
        <f>VLOOKUP(C275,'Seznam HS - nemaš'!$A$1:$B$96,2,FALSE)</f>
        <v>430400</v>
      </c>
      <c r="E275" s="22" t="s">
        <v>1030</v>
      </c>
      <c r="F275" s="30" t="s">
        <v>383</v>
      </c>
      <c r="G275" s="30"/>
      <c r="H275" s="28">
        <f>+IF(ISBLANK(I275),0,VLOOKUP(I275,'8Příloha_2_ceník_pravid_úklid'!$B$9:$C$30,2,0))</f>
        <v>6</v>
      </c>
      <c r="I275" s="143" t="s">
        <v>1</v>
      </c>
      <c r="J275" s="145">
        <v>38.840000000000003</v>
      </c>
      <c r="K275" s="275" t="s">
        <v>51</v>
      </c>
      <c r="L275" s="156" t="s">
        <v>1031</v>
      </c>
      <c r="M275" s="22" t="s">
        <v>49</v>
      </c>
      <c r="N275" s="24">
        <f>IF((VLOOKUP(I275,'8Příloha_2_ceník_pravid_úklid'!$B$9:$I$30,8,0))=0,VLOOKUP(I275,'8Příloha_2_ceník_pravid_úklid'!$B$9:$K$30,10,0),VLOOKUP(I275,'8Příloha_2_ceník_pravid_úklid'!$B$9:$I$30,8,0))</f>
        <v>0</v>
      </c>
      <c r="O275" s="20">
        <v>2</v>
      </c>
      <c r="P275" s="20">
        <v>1</v>
      </c>
      <c r="Q275" s="20">
        <v>2</v>
      </c>
      <c r="R275" s="20">
        <v>1</v>
      </c>
      <c r="S275" s="21">
        <f>NETWORKDAYS.INTL(DATE(2018,1,1),DATE(2018,12,31),1,{"2018/1/1";"2018/3/30";"2018/4/2";"2018/5/1";"2018/5/8";"2018/7/5";"2018/7/6";"2018/09/28";"2018/11/17";"2018/12/24";"2018/12/25";"2018/12/26"})</f>
        <v>250</v>
      </c>
      <c r="T275" s="21">
        <f t="shared" si="23"/>
        <v>115</v>
      </c>
      <c r="U275" s="21">
        <f t="shared" si="24"/>
        <v>365</v>
      </c>
      <c r="V275" s="311">
        <f t="shared" si="25"/>
        <v>730</v>
      </c>
      <c r="W275" s="140">
        <f t="shared" si="26"/>
        <v>0</v>
      </c>
      <c r="X275" s="141">
        <f t="shared" si="27"/>
        <v>0</v>
      </c>
      <c r="Y275" s="141">
        <v>0</v>
      </c>
    </row>
    <row r="276" spans="1:25" ht="15" x14ac:dyDescent="0.2">
      <c r="A276" s="276" t="s">
        <v>1028</v>
      </c>
      <c r="B276" s="23" t="s">
        <v>54</v>
      </c>
      <c r="C276" s="23" t="s">
        <v>191</v>
      </c>
      <c r="D276" s="139" t="str">
        <f>VLOOKUP(C276,'Seznam HS - nemaš'!$A$1:$B$96,2,FALSE)</f>
        <v>430400</v>
      </c>
      <c r="E276" s="22" t="s">
        <v>1032</v>
      </c>
      <c r="F276" s="30" t="s">
        <v>53</v>
      </c>
      <c r="G276" s="30"/>
      <c r="H276" s="28">
        <f>+IF(ISBLANK(I276),0,VLOOKUP(I276,'8Příloha_2_ceník_pravid_úklid'!$B$9:$C$30,2,0))</f>
        <v>6</v>
      </c>
      <c r="I276" s="143" t="s">
        <v>1</v>
      </c>
      <c r="J276" s="145">
        <v>8.2799999999999994</v>
      </c>
      <c r="K276" s="275" t="s">
        <v>51</v>
      </c>
      <c r="L276" s="156" t="s">
        <v>1031</v>
      </c>
      <c r="M276" s="22" t="s">
        <v>49</v>
      </c>
      <c r="N276" s="24">
        <f>IF((VLOOKUP(I276,'8Příloha_2_ceník_pravid_úklid'!$B$9:$I$30,8,0))=0,VLOOKUP(I276,'8Příloha_2_ceník_pravid_úklid'!$B$9:$K$30,10,0),VLOOKUP(I276,'8Příloha_2_ceník_pravid_úklid'!$B$9:$I$30,8,0))</f>
        <v>0</v>
      </c>
      <c r="O276" s="20">
        <v>2</v>
      </c>
      <c r="P276" s="20">
        <v>1</v>
      </c>
      <c r="Q276" s="20">
        <v>2</v>
      </c>
      <c r="R276" s="20">
        <v>1</v>
      </c>
      <c r="S276" s="21">
        <f>NETWORKDAYS.INTL(DATE(2018,1,1),DATE(2018,12,31),1,{"2018/1/1";"2018/3/30";"2018/4/2";"2018/5/1";"2018/5/8";"2018/7/5";"2018/7/6";"2018/09/28";"2018/11/17";"2018/12/24";"2018/12/25";"2018/12/26"})</f>
        <v>250</v>
      </c>
      <c r="T276" s="21">
        <f t="shared" si="23"/>
        <v>115</v>
      </c>
      <c r="U276" s="21">
        <f t="shared" si="24"/>
        <v>365</v>
      </c>
      <c r="V276" s="311">
        <f t="shared" si="25"/>
        <v>730</v>
      </c>
      <c r="W276" s="140">
        <f t="shared" si="26"/>
        <v>0</v>
      </c>
      <c r="X276" s="141">
        <f t="shared" si="27"/>
        <v>0</v>
      </c>
      <c r="Y276" s="141">
        <v>0</v>
      </c>
    </row>
    <row r="277" spans="1:25" ht="15" x14ac:dyDescent="0.2">
      <c r="A277" s="276" t="s">
        <v>1028</v>
      </c>
      <c r="B277" s="23" t="s">
        <v>54</v>
      </c>
      <c r="C277" s="23" t="s">
        <v>191</v>
      </c>
      <c r="D277" s="139" t="str">
        <f>VLOOKUP(C277,'Seznam HS - nemaš'!$A$1:$B$96,2,FALSE)</f>
        <v>430400</v>
      </c>
      <c r="E277" s="22" t="s">
        <v>1033</v>
      </c>
      <c r="F277" s="30" t="s">
        <v>437</v>
      </c>
      <c r="G277" s="30" t="s">
        <v>1034</v>
      </c>
      <c r="H277" s="28">
        <f>+IF(ISBLANK(I277),0,VLOOKUP(I277,'8Příloha_2_ceník_pravid_úklid'!$B$9:$C$30,2,0))</f>
        <v>7</v>
      </c>
      <c r="I277" s="143" t="s">
        <v>14</v>
      </c>
      <c r="J277" s="145">
        <v>2.88</v>
      </c>
      <c r="K277" s="275" t="s">
        <v>50</v>
      </c>
      <c r="L277" s="156" t="s">
        <v>1031</v>
      </c>
      <c r="M277" s="22" t="s">
        <v>49</v>
      </c>
      <c r="N277" s="24">
        <f>IF((VLOOKUP(I277,'8Příloha_2_ceník_pravid_úklid'!$B$9:$I$30,8,0))=0,VLOOKUP(I277,'8Příloha_2_ceník_pravid_úklid'!$B$9:$K$30,10,0),VLOOKUP(I277,'8Příloha_2_ceník_pravid_úklid'!$B$9:$I$30,8,0))</f>
        <v>0</v>
      </c>
      <c r="O277" s="20">
        <v>2</v>
      </c>
      <c r="P277" s="20">
        <v>1</v>
      </c>
      <c r="Q277" s="20">
        <v>2</v>
      </c>
      <c r="R277" s="20">
        <v>1</v>
      </c>
      <c r="S277" s="21">
        <f>NETWORKDAYS.INTL(DATE(2018,1,1),DATE(2018,12,31),1,{"2018/1/1";"2018/3/30";"2018/4/2";"2018/5/1";"2018/5/8";"2018/7/5";"2018/7/6";"2018/09/28";"2018/11/17";"2018/12/24";"2018/12/25";"2018/12/26"})</f>
        <v>250</v>
      </c>
      <c r="T277" s="21">
        <f t="shared" si="23"/>
        <v>115</v>
      </c>
      <c r="U277" s="21">
        <f t="shared" si="24"/>
        <v>365</v>
      </c>
      <c r="V277" s="311">
        <f t="shared" si="25"/>
        <v>730</v>
      </c>
      <c r="W277" s="140">
        <f t="shared" si="26"/>
        <v>0</v>
      </c>
      <c r="X277" s="141">
        <f t="shared" si="27"/>
        <v>0</v>
      </c>
      <c r="Y277" s="141">
        <v>0</v>
      </c>
    </row>
    <row r="278" spans="1:25" ht="15" x14ac:dyDescent="0.2">
      <c r="A278" s="276" t="s">
        <v>1028</v>
      </c>
      <c r="B278" s="23" t="s">
        <v>54</v>
      </c>
      <c r="C278" s="23" t="s">
        <v>191</v>
      </c>
      <c r="D278" s="139" t="str">
        <f>VLOOKUP(C278,'Seznam HS - nemaš'!$A$1:$B$96,2,FALSE)</f>
        <v>430400</v>
      </c>
      <c r="E278" s="22" t="s">
        <v>1035</v>
      </c>
      <c r="F278" s="30" t="s">
        <v>893</v>
      </c>
      <c r="G278" s="30"/>
      <c r="H278" s="28">
        <f>+IF(ISBLANK(I278),0,VLOOKUP(I278,'8Příloha_2_ceník_pravid_úklid'!$B$9:$C$30,2,0))</f>
        <v>7</v>
      </c>
      <c r="I278" s="143" t="s">
        <v>14</v>
      </c>
      <c r="J278" s="145">
        <v>1.62</v>
      </c>
      <c r="K278" s="275" t="s">
        <v>50</v>
      </c>
      <c r="L278" s="156" t="s">
        <v>22</v>
      </c>
      <c r="M278" s="22" t="s">
        <v>49</v>
      </c>
      <c r="N278" s="24">
        <f>IF((VLOOKUP(I278,'8Příloha_2_ceník_pravid_úklid'!$B$9:$I$30,8,0))=0,VLOOKUP(I278,'8Příloha_2_ceník_pravid_úklid'!$B$9:$K$30,10,0),VLOOKUP(I278,'8Příloha_2_ceník_pravid_úklid'!$B$9:$I$30,8,0))</f>
        <v>0</v>
      </c>
      <c r="O278" s="20">
        <v>2</v>
      </c>
      <c r="P278" s="20">
        <v>1</v>
      </c>
      <c r="Q278" s="20">
        <v>2</v>
      </c>
      <c r="R278" s="20">
        <v>1</v>
      </c>
      <c r="S278" s="21">
        <f>NETWORKDAYS.INTL(DATE(2018,1,1),DATE(2018,12,31),1,{"2018/1/1";"2018/3/30";"2018/4/2";"2018/5/1";"2018/5/8";"2018/7/5";"2018/7/6";"2018/09/28";"2018/11/17";"2018/12/24";"2018/12/25";"2018/12/26"})</f>
        <v>250</v>
      </c>
      <c r="T278" s="21">
        <f t="shared" si="23"/>
        <v>115</v>
      </c>
      <c r="U278" s="21">
        <f t="shared" si="24"/>
        <v>365</v>
      </c>
      <c r="V278" s="311">
        <f t="shared" si="25"/>
        <v>730</v>
      </c>
      <c r="W278" s="140">
        <f t="shared" si="26"/>
        <v>0</v>
      </c>
      <c r="X278" s="141">
        <f t="shared" si="27"/>
        <v>0</v>
      </c>
      <c r="Y278" s="141">
        <v>0</v>
      </c>
    </row>
    <row r="279" spans="1:25" ht="15" x14ac:dyDescent="0.2">
      <c r="A279" s="276" t="s">
        <v>1028</v>
      </c>
      <c r="B279" s="23" t="s">
        <v>54</v>
      </c>
      <c r="C279" s="23" t="s">
        <v>191</v>
      </c>
      <c r="D279" s="139" t="str">
        <f>VLOOKUP(C279,'Seznam HS - nemaš'!$A$1:$B$96,2,FALSE)</f>
        <v>430400</v>
      </c>
      <c r="E279" s="22" t="s">
        <v>1036</v>
      </c>
      <c r="F279" s="30" t="s">
        <v>437</v>
      </c>
      <c r="G279" s="30" t="s">
        <v>442</v>
      </c>
      <c r="H279" s="28">
        <f>+IF(ISBLANK(I279),0,VLOOKUP(I279,'8Příloha_2_ceník_pravid_úklid'!$B$9:$C$30,2,0))</f>
        <v>7</v>
      </c>
      <c r="I279" s="143" t="s">
        <v>14</v>
      </c>
      <c r="J279" s="145">
        <v>1.4</v>
      </c>
      <c r="K279" s="275" t="s">
        <v>50</v>
      </c>
      <c r="L279" s="156" t="s">
        <v>1037</v>
      </c>
      <c r="M279" s="22" t="s">
        <v>49</v>
      </c>
      <c r="N279" s="24">
        <f>IF((VLOOKUP(I279,'8Příloha_2_ceník_pravid_úklid'!$B$9:$I$30,8,0))=0,VLOOKUP(I279,'8Příloha_2_ceník_pravid_úklid'!$B$9:$K$30,10,0),VLOOKUP(I279,'8Příloha_2_ceník_pravid_úklid'!$B$9:$I$30,8,0))</f>
        <v>0</v>
      </c>
      <c r="O279" s="20">
        <v>1</v>
      </c>
      <c r="P279" s="20">
        <v>1</v>
      </c>
      <c r="Q279" s="20">
        <v>1</v>
      </c>
      <c r="R279" s="20">
        <v>1</v>
      </c>
      <c r="S279" s="21">
        <f>NETWORKDAYS.INTL(DATE(2018,1,1),DATE(2018,12,31),1,{"2018/1/1";"2018/3/30";"2018/4/2";"2018/5/1";"2018/5/8";"2018/7/5";"2018/7/6";"2018/09/28";"2018/11/17";"2018/12/24";"2018/12/25";"2018/12/26"})</f>
        <v>250</v>
      </c>
      <c r="T279" s="21">
        <f t="shared" si="23"/>
        <v>115</v>
      </c>
      <c r="U279" s="21">
        <f t="shared" si="24"/>
        <v>365</v>
      </c>
      <c r="V279" s="311">
        <f t="shared" si="25"/>
        <v>365</v>
      </c>
      <c r="W279" s="140">
        <f t="shared" si="26"/>
        <v>0</v>
      </c>
      <c r="X279" s="141">
        <f t="shared" si="27"/>
        <v>0</v>
      </c>
      <c r="Y279" s="141">
        <v>0</v>
      </c>
    </row>
    <row r="280" spans="1:25" ht="15" x14ac:dyDescent="0.2">
      <c r="A280" s="276" t="s">
        <v>1028</v>
      </c>
      <c r="B280" s="23" t="s">
        <v>54</v>
      </c>
      <c r="C280" s="23" t="s">
        <v>191</v>
      </c>
      <c r="D280" s="139" t="str">
        <f>VLOOKUP(C280,'Seznam HS - nemaš'!$A$1:$B$96,2,FALSE)</f>
        <v>430400</v>
      </c>
      <c r="E280" s="22" t="s">
        <v>1038</v>
      </c>
      <c r="F280" s="30" t="s">
        <v>437</v>
      </c>
      <c r="G280" s="30" t="s">
        <v>444</v>
      </c>
      <c r="H280" s="28">
        <f>+IF(ISBLANK(I280),0,VLOOKUP(I280,'8Příloha_2_ceník_pravid_úklid'!$B$9:$C$30,2,0))</f>
        <v>7</v>
      </c>
      <c r="I280" s="143" t="s">
        <v>14</v>
      </c>
      <c r="J280" s="145">
        <v>2.16</v>
      </c>
      <c r="K280" s="275" t="s">
        <v>50</v>
      </c>
      <c r="L280" s="156" t="s">
        <v>1031</v>
      </c>
      <c r="M280" s="22" t="s">
        <v>49</v>
      </c>
      <c r="N280" s="24">
        <f>IF((VLOOKUP(I280,'8Příloha_2_ceník_pravid_úklid'!$B$9:$I$30,8,0))=0,VLOOKUP(I280,'8Příloha_2_ceník_pravid_úklid'!$B$9:$K$30,10,0),VLOOKUP(I280,'8Příloha_2_ceník_pravid_úklid'!$B$9:$I$30,8,0))</f>
        <v>0</v>
      </c>
      <c r="O280" s="20">
        <v>2</v>
      </c>
      <c r="P280" s="20">
        <v>1</v>
      </c>
      <c r="Q280" s="20">
        <v>2</v>
      </c>
      <c r="R280" s="20">
        <v>1</v>
      </c>
      <c r="S280" s="21">
        <f>NETWORKDAYS.INTL(DATE(2018,1,1),DATE(2018,12,31),1,{"2018/1/1";"2018/3/30";"2018/4/2";"2018/5/1";"2018/5/8";"2018/7/5";"2018/7/6";"2018/09/28";"2018/11/17";"2018/12/24";"2018/12/25";"2018/12/26"})</f>
        <v>250</v>
      </c>
      <c r="T280" s="21">
        <f t="shared" si="23"/>
        <v>115</v>
      </c>
      <c r="U280" s="21">
        <f t="shared" si="24"/>
        <v>365</v>
      </c>
      <c r="V280" s="311">
        <f t="shared" si="25"/>
        <v>730</v>
      </c>
      <c r="W280" s="140">
        <f t="shared" si="26"/>
        <v>0</v>
      </c>
      <c r="X280" s="141">
        <f t="shared" si="27"/>
        <v>0</v>
      </c>
      <c r="Y280" s="141">
        <v>0</v>
      </c>
    </row>
    <row r="281" spans="1:25" ht="15" x14ac:dyDescent="0.2">
      <c r="A281" s="276" t="s">
        <v>1028</v>
      </c>
      <c r="B281" s="23" t="s">
        <v>54</v>
      </c>
      <c r="C281" s="23" t="s">
        <v>191</v>
      </c>
      <c r="D281" s="139" t="str">
        <f>VLOOKUP(C281,'Seznam HS - nemaš'!$A$1:$B$96,2,FALSE)</f>
        <v>430400</v>
      </c>
      <c r="E281" s="22" t="s">
        <v>1039</v>
      </c>
      <c r="F281" s="30" t="s">
        <v>437</v>
      </c>
      <c r="G281" s="30"/>
      <c r="H281" s="28">
        <f>+IF(ISBLANK(I281),0,VLOOKUP(I281,'8Příloha_2_ceník_pravid_úklid'!$B$9:$C$30,2,0))</f>
        <v>7</v>
      </c>
      <c r="I281" s="143" t="s">
        <v>14</v>
      </c>
      <c r="J281" s="145">
        <v>1.62</v>
      </c>
      <c r="K281" s="275" t="s">
        <v>50</v>
      </c>
      <c r="L281" s="156" t="s">
        <v>1031</v>
      </c>
      <c r="M281" s="22" t="s">
        <v>49</v>
      </c>
      <c r="N281" s="24">
        <f>IF((VLOOKUP(I281,'8Příloha_2_ceník_pravid_úklid'!$B$9:$I$30,8,0))=0,VLOOKUP(I281,'8Příloha_2_ceník_pravid_úklid'!$B$9:$K$30,10,0),VLOOKUP(I281,'8Příloha_2_ceník_pravid_úklid'!$B$9:$I$30,8,0))</f>
        <v>0</v>
      </c>
      <c r="O281" s="20">
        <v>2</v>
      </c>
      <c r="P281" s="20">
        <v>1</v>
      </c>
      <c r="Q281" s="20">
        <v>2</v>
      </c>
      <c r="R281" s="20">
        <v>1</v>
      </c>
      <c r="S281" s="21">
        <f>NETWORKDAYS.INTL(DATE(2018,1,1),DATE(2018,12,31),1,{"2018/1/1";"2018/3/30";"2018/4/2";"2018/5/1";"2018/5/8";"2018/7/5";"2018/7/6";"2018/09/28";"2018/11/17";"2018/12/24";"2018/12/25";"2018/12/26"})</f>
        <v>250</v>
      </c>
      <c r="T281" s="21">
        <f t="shared" si="23"/>
        <v>115</v>
      </c>
      <c r="U281" s="21">
        <f t="shared" si="24"/>
        <v>365</v>
      </c>
      <c r="V281" s="311">
        <f t="shared" si="25"/>
        <v>730</v>
      </c>
      <c r="W281" s="140">
        <f t="shared" si="26"/>
        <v>0</v>
      </c>
      <c r="X281" s="141">
        <f t="shared" si="27"/>
        <v>0</v>
      </c>
      <c r="Y281" s="141">
        <v>0</v>
      </c>
    </row>
    <row r="282" spans="1:25" ht="15" x14ac:dyDescent="0.2">
      <c r="A282" s="276" t="s">
        <v>1028</v>
      </c>
      <c r="B282" s="23" t="s">
        <v>54</v>
      </c>
      <c r="C282" s="23" t="s">
        <v>191</v>
      </c>
      <c r="D282" s="139" t="str">
        <f>VLOOKUP(C282,'Seznam HS - nemaš'!$A$1:$B$96,2,FALSE)</f>
        <v>430400</v>
      </c>
      <c r="E282" s="22" t="s">
        <v>1040</v>
      </c>
      <c r="F282" s="30" t="s">
        <v>437</v>
      </c>
      <c r="G282" s="30" t="s">
        <v>444</v>
      </c>
      <c r="H282" s="28">
        <f>+IF(ISBLANK(I282),0,VLOOKUP(I282,'8Příloha_2_ceník_pravid_úklid'!$B$9:$C$30,2,0))</f>
        <v>7</v>
      </c>
      <c r="I282" s="143" t="s">
        <v>14</v>
      </c>
      <c r="J282" s="145">
        <v>1.76</v>
      </c>
      <c r="K282" s="275" t="s">
        <v>50</v>
      </c>
      <c r="L282" s="156" t="s">
        <v>1031</v>
      </c>
      <c r="M282" s="22" t="s">
        <v>49</v>
      </c>
      <c r="N282" s="24">
        <f>IF((VLOOKUP(I282,'8Příloha_2_ceník_pravid_úklid'!$B$9:$I$30,8,0))=0,VLOOKUP(I282,'8Příloha_2_ceník_pravid_úklid'!$B$9:$K$30,10,0),VLOOKUP(I282,'8Příloha_2_ceník_pravid_úklid'!$B$9:$I$30,8,0))</f>
        <v>0</v>
      </c>
      <c r="O282" s="20">
        <v>2</v>
      </c>
      <c r="P282" s="20">
        <v>1</v>
      </c>
      <c r="Q282" s="20">
        <v>2</v>
      </c>
      <c r="R282" s="20">
        <v>1</v>
      </c>
      <c r="S282" s="21">
        <f>NETWORKDAYS.INTL(DATE(2018,1,1),DATE(2018,12,31),1,{"2018/1/1";"2018/3/30";"2018/4/2";"2018/5/1";"2018/5/8";"2018/7/5";"2018/7/6";"2018/09/28";"2018/11/17";"2018/12/24";"2018/12/25";"2018/12/26"})</f>
        <v>250</v>
      </c>
      <c r="T282" s="21">
        <f t="shared" si="23"/>
        <v>115</v>
      </c>
      <c r="U282" s="21">
        <f t="shared" si="24"/>
        <v>365</v>
      </c>
      <c r="V282" s="311">
        <f t="shared" si="25"/>
        <v>730</v>
      </c>
      <c r="W282" s="140">
        <f t="shared" si="26"/>
        <v>0</v>
      </c>
      <c r="X282" s="141">
        <f t="shared" si="27"/>
        <v>0</v>
      </c>
      <c r="Y282" s="141">
        <v>0</v>
      </c>
    </row>
    <row r="283" spans="1:25" ht="15" x14ac:dyDescent="0.2">
      <c r="A283" s="276" t="s">
        <v>1028</v>
      </c>
      <c r="B283" s="23" t="s">
        <v>54</v>
      </c>
      <c r="C283" s="23" t="s">
        <v>191</v>
      </c>
      <c r="D283" s="139" t="str">
        <f>VLOOKUP(C283,'Seznam HS - nemaš'!$A$1:$B$96,2,FALSE)</f>
        <v>430400</v>
      </c>
      <c r="E283" s="22" t="s">
        <v>1041</v>
      </c>
      <c r="F283" s="30" t="s">
        <v>383</v>
      </c>
      <c r="G283" s="30"/>
      <c r="H283" s="28">
        <f>+IF(ISBLANK(I283),0,VLOOKUP(I283,'8Příloha_2_ceník_pravid_úklid'!$B$9:$C$30,2,0))</f>
        <v>6</v>
      </c>
      <c r="I283" s="143" t="s">
        <v>1</v>
      </c>
      <c r="J283" s="145">
        <v>29.93</v>
      </c>
      <c r="K283" s="275" t="s">
        <v>51</v>
      </c>
      <c r="L283" s="156" t="s">
        <v>1031</v>
      </c>
      <c r="M283" s="22" t="s">
        <v>49</v>
      </c>
      <c r="N283" s="24">
        <f>IF((VLOOKUP(I283,'8Příloha_2_ceník_pravid_úklid'!$B$9:$I$30,8,0))=0,VLOOKUP(I283,'8Příloha_2_ceník_pravid_úklid'!$B$9:$K$30,10,0),VLOOKUP(I283,'8Příloha_2_ceník_pravid_úklid'!$B$9:$I$30,8,0))</f>
        <v>0</v>
      </c>
      <c r="O283" s="20">
        <v>2</v>
      </c>
      <c r="P283" s="20">
        <v>1</v>
      </c>
      <c r="Q283" s="20">
        <v>2</v>
      </c>
      <c r="R283" s="20">
        <v>1</v>
      </c>
      <c r="S283" s="21">
        <f>NETWORKDAYS.INTL(DATE(2018,1,1),DATE(2018,12,31),1,{"2018/1/1";"2018/3/30";"2018/4/2";"2018/5/1";"2018/5/8";"2018/7/5";"2018/7/6";"2018/09/28";"2018/11/17";"2018/12/24";"2018/12/25";"2018/12/26"})</f>
        <v>250</v>
      </c>
      <c r="T283" s="21">
        <f t="shared" si="23"/>
        <v>115</v>
      </c>
      <c r="U283" s="21">
        <f t="shared" si="24"/>
        <v>365</v>
      </c>
      <c r="V283" s="311">
        <f t="shared" si="25"/>
        <v>730</v>
      </c>
      <c r="W283" s="140">
        <f t="shared" si="26"/>
        <v>0</v>
      </c>
      <c r="X283" s="141">
        <f t="shared" si="27"/>
        <v>0</v>
      </c>
      <c r="Y283" s="141">
        <v>0</v>
      </c>
    </row>
    <row r="284" spans="1:25" ht="15" x14ac:dyDescent="0.2">
      <c r="A284" s="276" t="s">
        <v>1028</v>
      </c>
      <c r="B284" s="23" t="s">
        <v>54</v>
      </c>
      <c r="C284" s="23" t="s">
        <v>191</v>
      </c>
      <c r="D284" s="139" t="str">
        <f>VLOOKUP(C284,'Seznam HS - nemaš'!$A$1:$B$96,2,FALSE)</f>
        <v>430400</v>
      </c>
      <c r="E284" s="22" t="s">
        <v>1042</v>
      </c>
      <c r="F284" s="30" t="s">
        <v>492</v>
      </c>
      <c r="G284" s="30"/>
      <c r="H284" s="28">
        <f>+IF(ISBLANK(I284),0,VLOOKUP(I284,'8Příloha_2_ceník_pravid_úklid'!$B$9:$C$30,2,0))</f>
        <v>4</v>
      </c>
      <c r="I284" s="143" t="s">
        <v>9</v>
      </c>
      <c r="J284" s="145">
        <v>11.19</v>
      </c>
      <c r="K284" s="275" t="s">
        <v>51</v>
      </c>
      <c r="L284" s="156" t="s">
        <v>1037</v>
      </c>
      <c r="M284" s="22" t="s">
        <v>49</v>
      </c>
      <c r="N284" s="24">
        <f>IF((VLOOKUP(I284,'8Příloha_2_ceník_pravid_úklid'!$B$9:$I$30,8,0))=0,VLOOKUP(I284,'8Příloha_2_ceník_pravid_úklid'!$B$9:$K$30,10,0),VLOOKUP(I284,'8Příloha_2_ceník_pravid_úklid'!$B$9:$I$30,8,0))</f>
        <v>0</v>
      </c>
      <c r="O284" s="20">
        <v>1</v>
      </c>
      <c r="P284" s="20">
        <v>1</v>
      </c>
      <c r="Q284" s="20">
        <v>1</v>
      </c>
      <c r="R284" s="20">
        <v>1</v>
      </c>
      <c r="S284" s="21">
        <f>NETWORKDAYS.INTL(DATE(2018,1,1),DATE(2018,12,31),1,{"2018/1/1";"2018/3/30";"2018/4/2";"2018/5/1";"2018/5/8";"2018/7/5";"2018/7/6";"2018/09/28";"2018/11/17";"2018/12/24";"2018/12/25";"2018/12/26"})</f>
        <v>250</v>
      </c>
      <c r="T284" s="21">
        <f t="shared" si="23"/>
        <v>115</v>
      </c>
      <c r="U284" s="21">
        <f t="shared" si="24"/>
        <v>365</v>
      </c>
      <c r="V284" s="311">
        <f t="shared" si="25"/>
        <v>365</v>
      </c>
      <c r="W284" s="140">
        <f t="shared" si="26"/>
        <v>0</v>
      </c>
      <c r="X284" s="141">
        <f t="shared" si="27"/>
        <v>0</v>
      </c>
      <c r="Y284" s="141">
        <v>0</v>
      </c>
    </row>
    <row r="285" spans="1:25" ht="15" x14ac:dyDescent="0.2">
      <c r="A285" s="235" t="s">
        <v>1028</v>
      </c>
      <c r="B285" s="236" t="s">
        <v>54</v>
      </c>
      <c r="C285" s="236" t="s">
        <v>191</v>
      </c>
      <c r="D285" s="535" t="str">
        <f>VLOOKUP(C285,'Seznam HS - nemaš'!$A$1:$B$96,2,FALSE)</f>
        <v>430400</v>
      </c>
      <c r="E285" s="237" t="s">
        <v>1043</v>
      </c>
      <c r="F285" s="303" t="s">
        <v>398</v>
      </c>
      <c r="G285" s="303"/>
      <c r="H285" s="224">
        <f>+IF(ISBLANK(I285),0,VLOOKUP(I285,'8Příloha_2_ceník_pravid_úklid'!$B$9:$C$30,2,0))</f>
        <v>0</v>
      </c>
      <c r="I285" s="273"/>
      <c r="J285" s="241"/>
      <c r="K285" s="240"/>
      <c r="L285" s="242" t="s">
        <v>387</v>
      </c>
      <c r="M285" s="237"/>
      <c r="N285" s="229" t="s">
        <v>501</v>
      </c>
      <c r="O285" s="230">
        <v>0</v>
      </c>
      <c r="P285" s="230">
        <v>0</v>
      </c>
      <c r="Q285" s="230">
        <v>0</v>
      </c>
      <c r="R285" s="230">
        <v>0</v>
      </c>
      <c r="S285" s="231">
        <f>NETWORKDAYS.INTL(DATE(2018,1,1),DATE(2018,12,31),1,{"2018/1/1";"2018/3/30";"2018/4/2";"2018/5/1";"2018/5/8";"2018/7/5";"2018/7/6";"2018/09/28";"2018/11/17";"2018/12/24";"2018/12/25";"2018/12/26"})</f>
        <v>250</v>
      </c>
      <c r="T285" s="231">
        <f t="shared" si="23"/>
        <v>115</v>
      </c>
      <c r="U285" s="231">
        <f t="shared" si="24"/>
        <v>365</v>
      </c>
      <c r="V285" s="312">
        <f t="shared" si="25"/>
        <v>0</v>
      </c>
      <c r="W285" s="233">
        <f t="shared" si="26"/>
        <v>0</v>
      </c>
      <c r="X285" s="234">
        <f t="shared" si="27"/>
        <v>0</v>
      </c>
      <c r="Y285" s="234">
        <f t="shared" si="27"/>
        <v>0</v>
      </c>
    </row>
    <row r="286" spans="1:25" ht="15" x14ac:dyDescent="0.2">
      <c r="A286" s="276" t="s">
        <v>1028</v>
      </c>
      <c r="B286" s="23" t="s">
        <v>54</v>
      </c>
      <c r="C286" s="23" t="s">
        <v>191</v>
      </c>
      <c r="D286" s="139" t="str">
        <f>VLOOKUP(C286,'Seznam HS - nemaš'!$A$1:$B$96,2,FALSE)</f>
        <v>430400</v>
      </c>
      <c r="E286" s="22" t="s">
        <v>1044</v>
      </c>
      <c r="F286" s="30" t="s">
        <v>492</v>
      </c>
      <c r="G286" s="30" t="s">
        <v>1045</v>
      </c>
      <c r="H286" s="28">
        <f>+IF(ISBLANK(I286),0,VLOOKUP(I286,'8Příloha_2_ceník_pravid_úklid'!$B$9:$C$30,2,0))</f>
        <v>4</v>
      </c>
      <c r="I286" s="143" t="s">
        <v>9</v>
      </c>
      <c r="J286" s="145">
        <v>11.875</v>
      </c>
      <c r="K286" s="275" t="s">
        <v>51</v>
      </c>
      <c r="L286" s="156" t="s">
        <v>1037</v>
      </c>
      <c r="M286" s="22" t="s">
        <v>49</v>
      </c>
      <c r="N286" s="24">
        <f>IF((VLOOKUP(I286,'8Příloha_2_ceník_pravid_úklid'!$B$9:$I$30,8,0))=0,VLOOKUP(I286,'8Příloha_2_ceník_pravid_úklid'!$B$9:$K$30,10,0),VLOOKUP(I286,'8Příloha_2_ceník_pravid_úklid'!$B$9:$I$30,8,0))</f>
        <v>0</v>
      </c>
      <c r="O286" s="20">
        <v>1</v>
      </c>
      <c r="P286" s="20">
        <v>1</v>
      </c>
      <c r="Q286" s="20">
        <v>1</v>
      </c>
      <c r="R286" s="20">
        <v>1</v>
      </c>
      <c r="S286" s="21">
        <f>NETWORKDAYS.INTL(DATE(2018,1,1),DATE(2018,12,31),1,{"2018/1/1";"2018/3/30";"2018/4/2";"2018/5/1";"2018/5/8";"2018/7/5";"2018/7/6";"2018/09/28";"2018/11/17";"2018/12/24";"2018/12/25";"2018/12/26"})</f>
        <v>250</v>
      </c>
      <c r="T286" s="21">
        <f t="shared" si="23"/>
        <v>115</v>
      </c>
      <c r="U286" s="21">
        <f t="shared" si="24"/>
        <v>365</v>
      </c>
      <c r="V286" s="311">
        <f t="shared" si="25"/>
        <v>365</v>
      </c>
      <c r="W286" s="140">
        <f t="shared" si="26"/>
        <v>0</v>
      </c>
      <c r="X286" s="141">
        <f t="shared" si="27"/>
        <v>0</v>
      </c>
      <c r="Y286" s="141">
        <v>0</v>
      </c>
    </row>
    <row r="287" spans="1:25" ht="15" x14ac:dyDescent="0.2">
      <c r="A287" s="235" t="s">
        <v>1028</v>
      </c>
      <c r="B287" s="236" t="s">
        <v>54</v>
      </c>
      <c r="C287" s="236" t="s">
        <v>191</v>
      </c>
      <c r="D287" s="535" t="str">
        <f>VLOOKUP(C287,'Seznam HS - nemaš'!$A$1:$B$96,2,FALSE)</f>
        <v>430400</v>
      </c>
      <c r="E287" s="237" t="s">
        <v>1046</v>
      </c>
      <c r="F287" s="303" t="s">
        <v>398</v>
      </c>
      <c r="G287" s="303"/>
      <c r="H287" s="224">
        <f>+IF(ISBLANK(I287),0,VLOOKUP(I287,'8Příloha_2_ceník_pravid_úklid'!$B$9:$C$30,2,0))</f>
        <v>0</v>
      </c>
      <c r="I287" s="273"/>
      <c r="J287" s="241"/>
      <c r="K287" s="240"/>
      <c r="L287" s="242" t="s">
        <v>387</v>
      </c>
      <c r="M287" s="237"/>
      <c r="N287" s="229" t="s">
        <v>501</v>
      </c>
      <c r="O287" s="230">
        <v>0</v>
      </c>
      <c r="P287" s="230">
        <v>0</v>
      </c>
      <c r="Q287" s="230">
        <v>0</v>
      </c>
      <c r="R287" s="230">
        <v>0</v>
      </c>
      <c r="S287" s="231">
        <f>NETWORKDAYS.INTL(DATE(2018,1,1),DATE(2018,12,31),1,{"2018/1/1";"2018/3/30";"2018/4/2";"2018/5/1";"2018/5/8";"2018/7/5";"2018/7/6";"2018/09/28";"2018/11/17";"2018/12/24";"2018/12/25";"2018/12/26"})</f>
        <v>250</v>
      </c>
      <c r="T287" s="231">
        <f t="shared" si="23"/>
        <v>115</v>
      </c>
      <c r="U287" s="231">
        <f t="shared" si="24"/>
        <v>365</v>
      </c>
      <c r="V287" s="312">
        <f t="shared" si="25"/>
        <v>0</v>
      </c>
      <c r="W287" s="233">
        <f t="shared" si="26"/>
        <v>0</v>
      </c>
      <c r="X287" s="234">
        <f t="shared" si="27"/>
        <v>0</v>
      </c>
      <c r="Y287" s="234">
        <f t="shared" si="27"/>
        <v>0</v>
      </c>
    </row>
    <row r="288" spans="1:25" ht="15" x14ac:dyDescent="0.2">
      <c r="A288" s="276" t="s">
        <v>1028</v>
      </c>
      <c r="B288" s="23" t="s">
        <v>54</v>
      </c>
      <c r="C288" s="23" t="s">
        <v>191</v>
      </c>
      <c r="D288" s="139" t="str">
        <f>VLOOKUP(C288,'Seznam HS - nemaš'!$A$1:$B$96,2,FALSE)</f>
        <v>430400</v>
      </c>
      <c r="E288" s="22" t="s">
        <v>1047</v>
      </c>
      <c r="F288" s="30" t="s">
        <v>1048</v>
      </c>
      <c r="G288" s="30" t="s">
        <v>1049</v>
      </c>
      <c r="H288" s="28">
        <f>+IF(ISBLANK(I288),0,VLOOKUP(I288,'8Příloha_2_ceník_pravid_úklid'!$B$9:$C$30,2,0))</f>
        <v>9</v>
      </c>
      <c r="I288" s="143" t="s">
        <v>10</v>
      </c>
      <c r="J288" s="145">
        <v>23.11</v>
      </c>
      <c r="K288" s="275" t="s">
        <v>51</v>
      </c>
      <c r="L288" s="156" t="s">
        <v>1031</v>
      </c>
      <c r="M288" s="22" t="s">
        <v>49</v>
      </c>
      <c r="N288" s="24">
        <f>IF((VLOOKUP(I288,'8Příloha_2_ceník_pravid_úklid'!$B$9:$I$30,8,0))=0,VLOOKUP(I288,'8Příloha_2_ceník_pravid_úklid'!$B$9:$K$30,10,0),VLOOKUP(I288,'8Příloha_2_ceník_pravid_úklid'!$B$9:$I$30,8,0))</f>
        <v>0</v>
      </c>
      <c r="O288" s="20">
        <v>2</v>
      </c>
      <c r="P288" s="20">
        <v>1</v>
      </c>
      <c r="Q288" s="20">
        <v>2</v>
      </c>
      <c r="R288" s="20">
        <v>1</v>
      </c>
      <c r="S288" s="21">
        <f>NETWORKDAYS.INTL(DATE(2018,1,1),DATE(2018,12,31),1,{"2018/1/1";"2018/3/30";"2018/4/2";"2018/5/1";"2018/5/8";"2018/7/5";"2018/7/6";"2018/09/28";"2018/11/17";"2018/12/24";"2018/12/25";"2018/12/26"})</f>
        <v>250</v>
      </c>
      <c r="T288" s="21">
        <f t="shared" si="23"/>
        <v>115</v>
      </c>
      <c r="U288" s="21">
        <f t="shared" si="24"/>
        <v>365</v>
      </c>
      <c r="V288" s="311">
        <f t="shared" si="25"/>
        <v>730</v>
      </c>
      <c r="W288" s="140">
        <f t="shared" si="26"/>
        <v>0</v>
      </c>
      <c r="X288" s="141">
        <f t="shared" si="27"/>
        <v>0</v>
      </c>
      <c r="Y288" s="141">
        <v>0</v>
      </c>
    </row>
    <row r="289" spans="1:25" ht="15" x14ac:dyDescent="0.2">
      <c r="A289" s="276" t="s">
        <v>1028</v>
      </c>
      <c r="B289" s="23" t="s">
        <v>54</v>
      </c>
      <c r="C289" s="23" t="s">
        <v>191</v>
      </c>
      <c r="D289" s="139" t="str">
        <f>VLOOKUP(C289,'Seznam HS - nemaš'!$A$1:$B$96,2,FALSE)</f>
        <v>430400</v>
      </c>
      <c r="E289" s="22" t="s">
        <v>1050</v>
      </c>
      <c r="F289" s="30" t="s">
        <v>428</v>
      </c>
      <c r="G289" s="30" t="s">
        <v>1051</v>
      </c>
      <c r="H289" s="28">
        <f>+IF(ISBLANK(I289),0,VLOOKUP(I289,'8Příloha_2_ceník_pravid_úklid'!$B$9:$C$30,2,0))</f>
        <v>3</v>
      </c>
      <c r="I289" s="143" t="s">
        <v>3</v>
      </c>
      <c r="J289" s="145">
        <v>27.02</v>
      </c>
      <c r="K289" s="275" t="s">
        <v>51</v>
      </c>
      <c r="L289" s="156" t="s">
        <v>1031</v>
      </c>
      <c r="M289" s="22" t="s">
        <v>49</v>
      </c>
      <c r="N289" s="24">
        <f>IF((VLOOKUP(I289,'8Příloha_2_ceník_pravid_úklid'!$B$9:$I$30,8,0))=0,VLOOKUP(I289,'8Příloha_2_ceník_pravid_úklid'!$B$9:$K$30,10,0),VLOOKUP(I289,'8Příloha_2_ceník_pravid_úklid'!$B$9:$I$30,8,0))</f>
        <v>0</v>
      </c>
      <c r="O289" s="20">
        <v>2</v>
      </c>
      <c r="P289" s="20">
        <v>1</v>
      </c>
      <c r="Q289" s="20">
        <v>2</v>
      </c>
      <c r="R289" s="20">
        <v>1</v>
      </c>
      <c r="S289" s="21">
        <f>NETWORKDAYS.INTL(DATE(2018,1,1),DATE(2018,12,31),1,{"2018/1/1";"2018/3/30";"2018/4/2";"2018/5/1";"2018/5/8";"2018/7/5";"2018/7/6";"2018/09/28";"2018/11/17";"2018/12/24";"2018/12/25";"2018/12/26"})</f>
        <v>250</v>
      </c>
      <c r="T289" s="21">
        <f t="shared" si="23"/>
        <v>115</v>
      </c>
      <c r="U289" s="21">
        <f t="shared" si="24"/>
        <v>365</v>
      </c>
      <c r="V289" s="311">
        <f t="shared" si="25"/>
        <v>730</v>
      </c>
      <c r="W289" s="140">
        <f t="shared" si="26"/>
        <v>0</v>
      </c>
      <c r="X289" s="141">
        <f t="shared" si="27"/>
        <v>0</v>
      </c>
      <c r="Y289" s="141">
        <v>0</v>
      </c>
    </row>
    <row r="290" spans="1:25" ht="15" x14ac:dyDescent="0.2">
      <c r="A290" s="276" t="s">
        <v>1028</v>
      </c>
      <c r="B290" s="23" t="s">
        <v>54</v>
      </c>
      <c r="C290" s="23" t="s">
        <v>191</v>
      </c>
      <c r="D290" s="139" t="str">
        <f>VLOOKUP(C290,'Seznam HS - nemaš'!$A$1:$B$96,2,FALSE)</f>
        <v>430400</v>
      </c>
      <c r="E290" s="22" t="s">
        <v>1052</v>
      </c>
      <c r="F290" s="30" t="s">
        <v>916</v>
      </c>
      <c r="G290" s="30"/>
      <c r="H290" s="28">
        <f>+IF(ISBLANK(I290),0,VLOOKUP(I290,'8Příloha_2_ceník_pravid_úklid'!$B$9:$C$30,2,0))</f>
        <v>3</v>
      </c>
      <c r="I290" s="143" t="s">
        <v>3</v>
      </c>
      <c r="J290" s="145">
        <v>1.58</v>
      </c>
      <c r="K290" s="275" t="s">
        <v>51</v>
      </c>
      <c r="L290" s="156" t="s">
        <v>1031</v>
      </c>
      <c r="M290" s="22" t="s">
        <v>49</v>
      </c>
      <c r="N290" s="24">
        <f>IF((VLOOKUP(I290,'8Příloha_2_ceník_pravid_úklid'!$B$9:$I$30,8,0))=0,VLOOKUP(I290,'8Příloha_2_ceník_pravid_úklid'!$B$9:$K$30,10,0),VLOOKUP(I290,'8Příloha_2_ceník_pravid_úklid'!$B$9:$I$30,8,0))</f>
        <v>0</v>
      </c>
      <c r="O290" s="20">
        <v>2</v>
      </c>
      <c r="P290" s="20">
        <v>1</v>
      </c>
      <c r="Q290" s="20">
        <v>2</v>
      </c>
      <c r="R290" s="20">
        <v>1</v>
      </c>
      <c r="S290" s="21">
        <f>NETWORKDAYS.INTL(DATE(2018,1,1),DATE(2018,12,31),1,{"2018/1/1";"2018/3/30";"2018/4/2";"2018/5/1";"2018/5/8";"2018/7/5";"2018/7/6";"2018/09/28";"2018/11/17";"2018/12/24";"2018/12/25";"2018/12/26"})</f>
        <v>250</v>
      </c>
      <c r="T290" s="21">
        <f t="shared" si="23"/>
        <v>115</v>
      </c>
      <c r="U290" s="21">
        <f t="shared" si="24"/>
        <v>365</v>
      </c>
      <c r="V290" s="311">
        <f t="shared" si="25"/>
        <v>730</v>
      </c>
      <c r="W290" s="140">
        <f t="shared" si="26"/>
        <v>0</v>
      </c>
      <c r="X290" s="141">
        <f t="shared" si="27"/>
        <v>0</v>
      </c>
      <c r="Y290" s="141">
        <v>0</v>
      </c>
    </row>
    <row r="291" spans="1:25" ht="15" x14ac:dyDescent="0.2">
      <c r="A291" s="276" t="s">
        <v>1028</v>
      </c>
      <c r="B291" s="23" t="s">
        <v>54</v>
      </c>
      <c r="C291" s="23" t="s">
        <v>191</v>
      </c>
      <c r="D291" s="139" t="str">
        <f>VLOOKUP(C291,'Seznam HS - nemaš'!$A$1:$B$96,2,FALSE)</f>
        <v>430400</v>
      </c>
      <c r="E291" s="22" t="s">
        <v>1053</v>
      </c>
      <c r="F291" s="30" t="s">
        <v>916</v>
      </c>
      <c r="G291" s="30"/>
      <c r="H291" s="28">
        <f>+IF(ISBLANK(I291),0,VLOOKUP(I291,'8Příloha_2_ceník_pravid_úklid'!$B$9:$C$30,2,0))</f>
        <v>3</v>
      </c>
      <c r="I291" s="143" t="s">
        <v>3</v>
      </c>
      <c r="J291" s="145">
        <v>1.58</v>
      </c>
      <c r="K291" s="275" t="s">
        <v>51</v>
      </c>
      <c r="L291" s="156" t="s">
        <v>1031</v>
      </c>
      <c r="M291" s="22" t="s">
        <v>49</v>
      </c>
      <c r="N291" s="24">
        <f>IF((VLOOKUP(I291,'8Příloha_2_ceník_pravid_úklid'!$B$9:$I$30,8,0))=0,VLOOKUP(I291,'8Příloha_2_ceník_pravid_úklid'!$B$9:$K$30,10,0),VLOOKUP(I291,'8Příloha_2_ceník_pravid_úklid'!$B$9:$I$30,8,0))</f>
        <v>0</v>
      </c>
      <c r="O291" s="20">
        <v>2</v>
      </c>
      <c r="P291" s="20">
        <v>1</v>
      </c>
      <c r="Q291" s="20">
        <v>2</v>
      </c>
      <c r="R291" s="20">
        <v>1</v>
      </c>
      <c r="S291" s="21">
        <f>NETWORKDAYS.INTL(DATE(2018,1,1),DATE(2018,12,31),1,{"2018/1/1";"2018/3/30";"2018/4/2";"2018/5/1";"2018/5/8";"2018/7/5";"2018/7/6";"2018/09/28";"2018/11/17";"2018/12/24";"2018/12/25";"2018/12/26"})</f>
        <v>250</v>
      </c>
      <c r="T291" s="21">
        <f t="shared" si="23"/>
        <v>115</v>
      </c>
      <c r="U291" s="21">
        <f t="shared" si="24"/>
        <v>365</v>
      </c>
      <c r="V291" s="311">
        <f t="shared" si="25"/>
        <v>730</v>
      </c>
      <c r="W291" s="140">
        <f t="shared" si="26"/>
        <v>0</v>
      </c>
      <c r="X291" s="141">
        <f t="shared" si="27"/>
        <v>0</v>
      </c>
      <c r="Y291" s="141">
        <v>0</v>
      </c>
    </row>
    <row r="292" spans="1:25" ht="15" x14ac:dyDescent="0.2">
      <c r="A292" s="276" t="s">
        <v>1028</v>
      </c>
      <c r="B292" s="23" t="s">
        <v>54</v>
      </c>
      <c r="C292" s="23" t="s">
        <v>191</v>
      </c>
      <c r="D292" s="139" t="str">
        <f>VLOOKUP(C292,'Seznam HS - nemaš'!$A$1:$B$96,2,FALSE)</f>
        <v>430400</v>
      </c>
      <c r="E292" s="22" t="s">
        <v>1054</v>
      </c>
      <c r="F292" s="30" t="s">
        <v>1055</v>
      </c>
      <c r="G292" s="30"/>
      <c r="H292" s="28">
        <f>+IF(ISBLANK(I292),0,VLOOKUP(I292,'8Příloha_2_ceník_pravid_úklid'!$B$9:$C$30,2,0))</f>
        <v>3</v>
      </c>
      <c r="I292" s="143" t="s">
        <v>3</v>
      </c>
      <c r="J292" s="145">
        <v>16.149999999999999</v>
      </c>
      <c r="K292" s="275" t="s">
        <v>51</v>
      </c>
      <c r="L292" s="156" t="s">
        <v>1031</v>
      </c>
      <c r="M292" s="22" t="s">
        <v>49</v>
      </c>
      <c r="N292" s="24">
        <f>IF((VLOOKUP(I292,'8Příloha_2_ceník_pravid_úklid'!$B$9:$I$30,8,0))=0,VLOOKUP(I292,'8Příloha_2_ceník_pravid_úklid'!$B$9:$K$30,10,0),VLOOKUP(I292,'8Příloha_2_ceník_pravid_úklid'!$B$9:$I$30,8,0))</f>
        <v>0</v>
      </c>
      <c r="O292" s="20">
        <v>2</v>
      </c>
      <c r="P292" s="20">
        <v>1</v>
      </c>
      <c r="Q292" s="20">
        <v>2</v>
      </c>
      <c r="R292" s="20">
        <v>1</v>
      </c>
      <c r="S292" s="21">
        <f>NETWORKDAYS.INTL(DATE(2018,1,1),DATE(2018,12,31),1,{"2018/1/1";"2018/3/30";"2018/4/2";"2018/5/1";"2018/5/8";"2018/7/5";"2018/7/6";"2018/09/28";"2018/11/17";"2018/12/24";"2018/12/25";"2018/12/26"})</f>
        <v>250</v>
      </c>
      <c r="T292" s="21">
        <f t="shared" si="23"/>
        <v>115</v>
      </c>
      <c r="U292" s="21">
        <f t="shared" si="24"/>
        <v>365</v>
      </c>
      <c r="V292" s="311">
        <f t="shared" si="25"/>
        <v>730</v>
      </c>
      <c r="W292" s="140">
        <f t="shared" si="26"/>
        <v>0</v>
      </c>
      <c r="X292" s="141">
        <f t="shared" si="27"/>
        <v>0</v>
      </c>
      <c r="Y292" s="141">
        <v>0</v>
      </c>
    </row>
    <row r="293" spans="1:25" ht="15" x14ac:dyDescent="0.2">
      <c r="A293" s="276" t="s">
        <v>1028</v>
      </c>
      <c r="B293" s="23" t="s">
        <v>54</v>
      </c>
      <c r="C293" s="23" t="s">
        <v>191</v>
      </c>
      <c r="D293" s="139" t="str">
        <f>VLOOKUP(C293,'Seznam HS - nemaš'!$A$1:$B$96,2,FALSE)</f>
        <v>430400</v>
      </c>
      <c r="E293" s="22" t="s">
        <v>1056</v>
      </c>
      <c r="F293" s="30" t="s">
        <v>612</v>
      </c>
      <c r="G293" s="30" t="s">
        <v>1057</v>
      </c>
      <c r="H293" s="28">
        <f>+IF(ISBLANK(I293),0,VLOOKUP(I293,'8Příloha_2_ceník_pravid_úklid'!$B$9:$C$30,2,0))</f>
        <v>3</v>
      </c>
      <c r="I293" s="143" t="s">
        <v>3</v>
      </c>
      <c r="J293" s="145">
        <v>14.36</v>
      </c>
      <c r="K293" s="275" t="s">
        <v>51</v>
      </c>
      <c r="L293" s="156" t="s">
        <v>65</v>
      </c>
      <c r="M293" s="22" t="s">
        <v>49</v>
      </c>
      <c r="N293" s="24">
        <f>IF((VLOOKUP(I293,'8Příloha_2_ceník_pravid_úklid'!$B$9:$I$30,8,0))=0,VLOOKUP(I293,'8Příloha_2_ceník_pravid_úklid'!$B$9:$K$30,10,0),VLOOKUP(I293,'8Příloha_2_ceník_pravid_úklid'!$B$9:$I$30,8,0))</f>
        <v>0</v>
      </c>
      <c r="O293" s="20">
        <v>2</v>
      </c>
      <c r="P293" s="20">
        <v>1</v>
      </c>
      <c r="Q293" s="20">
        <v>0</v>
      </c>
      <c r="R293" s="20">
        <v>0</v>
      </c>
      <c r="S293" s="21">
        <f>NETWORKDAYS.INTL(DATE(2018,1,1),DATE(2018,12,31),1,{"2018/1/1";"2018/3/30";"2018/4/2";"2018/5/1";"2018/5/8";"2018/7/5";"2018/7/6";"2018/09/28";"2018/11/17";"2018/12/24";"2018/12/25";"2018/12/26"})</f>
        <v>250</v>
      </c>
      <c r="T293" s="21">
        <f t="shared" si="23"/>
        <v>115</v>
      </c>
      <c r="U293" s="21">
        <f t="shared" si="24"/>
        <v>365</v>
      </c>
      <c r="V293" s="311">
        <f t="shared" si="25"/>
        <v>500</v>
      </c>
      <c r="W293" s="140">
        <f t="shared" si="26"/>
        <v>0</v>
      </c>
      <c r="X293" s="141">
        <f t="shared" si="27"/>
        <v>0</v>
      </c>
      <c r="Y293" s="141">
        <v>0</v>
      </c>
    </row>
    <row r="294" spans="1:25" ht="15" x14ac:dyDescent="0.2">
      <c r="A294" s="276" t="s">
        <v>1028</v>
      </c>
      <c r="B294" s="23" t="s">
        <v>54</v>
      </c>
      <c r="C294" s="23" t="s">
        <v>191</v>
      </c>
      <c r="D294" s="139" t="str">
        <f>VLOOKUP(C294,'Seznam HS - nemaš'!$A$1:$B$96,2,FALSE)</f>
        <v>430400</v>
      </c>
      <c r="E294" s="22" t="s">
        <v>1058</v>
      </c>
      <c r="F294" s="30" t="s">
        <v>916</v>
      </c>
      <c r="G294" s="30"/>
      <c r="H294" s="28">
        <f>+IF(ISBLANK(I294),0,VLOOKUP(I294,'8Příloha_2_ceník_pravid_úklid'!$B$9:$C$30,2,0))</f>
        <v>3</v>
      </c>
      <c r="I294" s="143" t="s">
        <v>3</v>
      </c>
      <c r="J294" s="145">
        <v>1.55</v>
      </c>
      <c r="K294" s="275" t="s">
        <v>51</v>
      </c>
      <c r="L294" s="156" t="s">
        <v>65</v>
      </c>
      <c r="M294" s="22" t="s">
        <v>49</v>
      </c>
      <c r="N294" s="24">
        <f>IF((VLOOKUP(I294,'8Příloha_2_ceník_pravid_úklid'!$B$9:$I$30,8,0))=0,VLOOKUP(I294,'8Příloha_2_ceník_pravid_úklid'!$B$9:$K$30,10,0),VLOOKUP(I294,'8Příloha_2_ceník_pravid_úklid'!$B$9:$I$30,8,0))</f>
        <v>0</v>
      </c>
      <c r="O294" s="20">
        <v>2</v>
      </c>
      <c r="P294" s="20">
        <v>1</v>
      </c>
      <c r="Q294" s="20">
        <v>0</v>
      </c>
      <c r="R294" s="20">
        <v>0</v>
      </c>
      <c r="S294" s="21">
        <f>NETWORKDAYS.INTL(DATE(2018,1,1),DATE(2018,12,31),1,{"2018/1/1";"2018/3/30";"2018/4/2";"2018/5/1";"2018/5/8";"2018/7/5";"2018/7/6";"2018/09/28";"2018/11/17";"2018/12/24";"2018/12/25";"2018/12/26"})</f>
        <v>250</v>
      </c>
      <c r="T294" s="21">
        <f t="shared" si="23"/>
        <v>115</v>
      </c>
      <c r="U294" s="21">
        <f t="shared" si="24"/>
        <v>365</v>
      </c>
      <c r="V294" s="311">
        <f t="shared" si="25"/>
        <v>500</v>
      </c>
      <c r="W294" s="140">
        <f t="shared" si="26"/>
        <v>0</v>
      </c>
      <c r="X294" s="141">
        <f t="shared" si="27"/>
        <v>0</v>
      </c>
      <c r="Y294" s="141">
        <v>0</v>
      </c>
    </row>
    <row r="295" spans="1:25" ht="15" x14ac:dyDescent="0.2">
      <c r="A295" s="276" t="s">
        <v>1028</v>
      </c>
      <c r="B295" s="23" t="s">
        <v>54</v>
      </c>
      <c r="C295" s="23" t="s">
        <v>191</v>
      </c>
      <c r="D295" s="139" t="str">
        <f>VLOOKUP(C295,'Seznam HS - nemaš'!$A$1:$B$96,2,FALSE)</f>
        <v>430400</v>
      </c>
      <c r="E295" s="22" t="s">
        <v>1059</v>
      </c>
      <c r="F295" s="30" t="s">
        <v>916</v>
      </c>
      <c r="G295" s="30"/>
      <c r="H295" s="28">
        <f>+IF(ISBLANK(I295),0,VLOOKUP(I295,'8Příloha_2_ceník_pravid_úklid'!$B$9:$C$30,2,0))</f>
        <v>3</v>
      </c>
      <c r="I295" s="143" t="s">
        <v>3</v>
      </c>
      <c r="J295" s="145">
        <v>2</v>
      </c>
      <c r="K295" s="275" t="s">
        <v>51</v>
      </c>
      <c r="L295" s="156" t="s">
        <v>65</v>
      </c>
      <c r="M295" s="22" t="s">
        <v>49</v>
      </c>
      <c r="N295" s="24">
        <f>IF((VLOOKUP(I295,'8Příloha_2_ceník_pravid_úklid'!$B$9:$I$30,8,0))=0,VLOOKUP(I295,'8Příloha_2_ceník_pravid_úklid'!$B$9:$K$30,10,0),VLOOKUP(I295,'8Příloha_2_ceník_pravid_úklid'!$B$9:$I$30,8,0))</f>
        <v>0</v>
      </c>
      <c r="O295" s="20">
        <v>2</v>
      </c>
      <c r="P295" s="20">
        <v>1</v>
      </c>
      <c r="Q295" s="20">
        <v>0</v>
      </c>
      <c r="R295" s="20">
        <v>0</v>
      </c>
      <c r="S295" s="21">
        <f>NETWORKDAYS.INTL(DATE(2018,1,1),DATE(2018,12,31),1,{"2018/1/1";"2018/3/30";"2018/4/2";"2018/5/1";"2018/5/8";"2018/7/5";"2018/7/6";"2018/09/28";"2018/11/17";"2018/12/24";"2018/12/25";"2018/12/26"})</f>
        <v>250</v>
      </c>
      <c r="T295" s="21">
        <f t="shared" si="23"/>
        <v>115</v>
      </c>
      <c r="U295" s="21">
        <f t="shared" si="24"/>
        <v>365</v>
      </c>
      <c r="V295" s="311">
        <f t="shared" si="25"/>
        <v>500</v>
      </c>
      <c r="W295" s="140">
        <f t="shared" si="26"/>
        <v>0</v>
      </c>
      <c r="X295" s="141">
        <f t="shared" si="27"/>
        <v>0</v>
      </c>
      <c r="Y295" s="141">
        <v>0</v>
      </c>
    </row>
    <row r="296" spans="1:25" ht="15" x14ac:dyDescent="0.2">
      <c r="A296" s="276" t="s">
        <v>1028</v>
      </c>
      <c r="B296" s="23" t="s">
        <v>54</v>
      </c>
      <c r="C296" s="23" t="s">
        <v>191</v>
      </c>
      <c r="D296" s="139" t="str">
        <f>VLOOKUP(C296,'Seznam HS - nemaš'!$A$1:$B$96,2,FALSE)</f>
        <v>430400</v>
      </c>
      <c r="E296" s="22" t="s">
        <v>1060</v>
      </c>
      <c r="F296" s="30" t="s">
        <v>1061</v>
      </c>
      <c r="G296" s="30"/>
      <c r="H296" s="28">
        <f>+IF(ISBLANK(I296),0,VLOOKUP(I296,'8Příloha_2_ceník_pravid_úklid'!$B$9:$C$30,2,0))</f>
        <v>3</v>
      </c>
      <c r="I296" s="143" t="s">
        <v>3</v>
      </c>
      <c r="J296" s="145">
        <v>6.9</v>
      </c>
      <c r="K296" s="275" t="s">
        <v>51</v>
      </c>
      <c r="L296" s="156" t="s">
        <v>1062</v>
      </c>
      <c r="M296" s="22" t="s">
        <v>49</v>
      </c>
      <c r="N296" s="24">
        <f>IF((VLOOKUP(I296,'8Příloha_2_ceník_pravid_úklid'!$B$9:$I$30,8,0))=0,VLOOKUP(I296,'8Příloha_2_ceník_pravid_úklid'!$B$9:$K$30,10,0),VLOOKUP(I296,'8Příloha_2_ceník_pravid_úklid'!$B$9:$I$30,8,0))</f>
        <v>0</v>
      </c>
      <c r="O296" s="20">
        <v>1</v>
      </c>
      <c r="P296" s="20">
        <v>1</v>
      </c>
      <c r="Q296" s="20">
        <v>0</v>
      </c>
      <c r="R296" s="20">
        <v>0</v>
      </c>
      <c r="S296" s="21">
        <f>NETWORKDAYS.INTL(DATE(2018,1,1),DATE(2018,12,31),1,{"2018/1/1";"2018/3/30";"2018/4/2";"2018/5/1";"2018/5/8";"2018/7/5";"2018/7/6";"2018/09/28";"2018/11/17";"2018/12/24";"2018/12/25";"2018/12/26"})</f>
        <v>250</v>
      </c>
      <c r="T296" s="21">
        <f t="shared" si="23"/>
        <v>115</v>
      </c>
      <c r="U296" s="21">
        <f t="shared" si="24"/>
        <v>365</v>
      </c>
      <c r="V296" s="311">
        <f t="shared" si="25"/>
        <v>250</v>
      </c>
      <c r="W296" s="140">
        <f t="shared" si="26"/>
        <v>0</v>
      </c>
      <c r="X296" s="141">
        <f t="shared" si="27"/>
        <v>0</v>
      </c>
      <c r="Y296" s="141">
        <v>0</v>
      </c>
    </row>
    <row r="297" spans="1:25" ht="15" x14ac:dyDescent="0.2">
      <c r="A297" s="276" t="s">
        <v>1028</v>
      </c>
      <c r="B297" s="23" t="s">
        <v>54</v>
      </c>
      <c r="C297" s="23" t="s">
        <v>191</v>
      </c>
      <c r="D297" s="139" t="str">
        <f>VLOOKUP(C297,'Seznam HS - nemaš'!$A$1:$B$96,2,FALSE)</f>
        <v>430400</v>
      </c>
      <c r="E297" s="22" t="s">
        <v>1063</v>
      </c>
      <c r="F297" s="30" t="s">
        <v>389</v>
      </c>
      <c r="G297" s="30"/>
      <c r="H297" s="28">
        <f>+IF(ISBLANK(I297),0,VLOOKUP(I297,'8Příloha_2_ceník_pravid_úklid'!$B$9:$C$30,2,0))</f>
        <v>17</v>
      </c>
      <c r="I297" s="143" t="s">
        <v>13</v>
      </c>
      <c r="J297" s="145">
        <v>5.4</v>
      </c>
      <c r="K297" s="275" t="s">
        <v>51</v>
      </c>
      <c r="L297" s="156" t="s">
        <v>21</v>
      </c>
      <c r="M297" s="22" t="s">
        <v>49</v>
      </c>
      <c r="N297" s="24">
        <f>IF((VLOOKUP(I297,'8Příloha_2_ceník_pravid_úklid'!$B$9:$I$30,8,0))=0,VLOOKUP(I297,'8Příloha_2_ceník_pravid_úklid'!$B$9:$K$30,10,0),VLOOKUP(I297,'8Příloha_2_ceník_pravid_úklid'!$B$9:$I$30,8,0))</f>
        <v>0</v>
      </c>
      <c r="O297" s="20">
        <v>1</v>
      </c>
      <c r="P297" s="20">
        <v>1</v>
      </c>
      <c r="Q297" s="20">
        <v>0</v>
      </c>
      <c r="R297" s="20">
        <v>0</v>
      </c>
      <c r="S297" s="21">
        <f>NETWORKDAYS.INTL(DATE(2018,1,1),DATE(2018,12,31),1,{"2018/1/1";"2018/3/30";"2018/4/2";"2018/5/1";"2018/5/8";"2018/7/5";"2018/7/6";"2018/09/28";"2018/11/17";"2018/12/24";"2018/12/25";"2018/12/26"})</f>
        <v>250</v>
      </c>
      <c r="T297" s="21">
        <f t="shared" si="23"/>
        <v>115</v>
      </c>
      <c r="U297" s="21">
        <f t="shared" si="24"/>
        <v>365</v>
      </c>
      <c r="V297" s="311">
        <f t="shared" si="25"/>
        <v>250</v>
      </c>
      <c r="W297" s="140">
        <f t="shared" si="26"/>
        <v>0</v>
      </c>
      <c r="X297" s="141">
        <f t="shared" si="27"/>
        <v>0</v>
      </c>
      <c r="Y297" s="141">
        <v>0</v>
      </c>
    </row>
    <row r="298" spans="1:25" ht="15" x14ac:dyDescent="0.2">
      <c r="A298" s="276" t="s">
        <v>1028</v>
      </c>
      <c r="B298" s="23" t="s">
        <v>54</v>
      </c>
      <c r="C298" s="23" t="s">
        <v>191</v>
      </c>
      <c r="D298" s="139" t="str">
        <f>VLOOKUP(C298,'Seznam HS - nemaš'!$A$1:$B$96,2,FALSE)</f>
        <v>430400</v>
      </c>
      <c r="E298" s="22" t="s">
        <v>1064</v>
      </c>
      <c r="F298" s="30" t="s">
        <v>612</v>
      </c>
      <c r="G298" s="30" t="s">
        <v>544</v>
      </c>
      <c r="H298" s="28">
        <f>+IF(ISBLANK(I298),0,VLOOKUP(I298,'8Příloha_2_ceník_pravid_úklid'!$B$9:$C$30,2,0))</f>
        <v>3</v>
      </c>
      <c r="I298" s="143" t="s">
        <v>3</v>
      </c>
      <c r="J298" s="145">
        <v>15.5</v>
      </c>
      <c r="K298" s="275" t="s">
        <v>51</v>
      </c>
      <c r="L298" s="156" t="s">
        <v>65</v>
      </c>
      <c r="M298" s="22" t="s">
        <v>49</v>
      </c>
      <c r="N298" s="24">
        <f>IF((VLOOKUP(I298,'8Příloha_2_ceník_pravid_úklid'!$B$9:$I$30,8,0))=0,VLOOKUP(I298,'8Příloha_2_ceník_pravid_úklid'!$B$9:$K$30,10,0),VLOOKUP(I298,'8Příloha_2_ceník_pravid_úklid'!$B$9:$I$30,8,0))</f>
        <v>0</v>
      </c>
      <c r="O298" s="20">
        <v>2</v>
      </c>
      <c r="P298" s="20">
        <v>1</v>
      </c>
      <c r="Q298" s="20">
        <v>0</v>
      </c>
      <c r="R298" s="20">
        <v>0</v>
      </c>
      <c r="S298" s="21">
        <f>NETWORKDAYS.INTL(DATE(2018,1,1),DATE(2018,12,31),1,{"2018/1/1";"2018/3/30";"2018/4/2";"2018/5/1";"2018/5/8";"2018/7/5";"2018/7/6";"2018/09/28";"2018/11/17";"2018/12/24";"2018/12/25";"2018/12/26"})</f>
        <v>250</v>
      </c>
      <c r="T298" s="21">
        <f t="shared" si="23"/>
        <v>115</v>
      </c>
      <c r="U298" s="21">
        <f t="shared" si="24"/>
        <v>365</v>
      </c>
      <c r="V298" s="311">
        <f t="shared" si="25"/>
        <v>500</v>
      </c>
      <c r="W298" s="140">
        <f t="shared" si="26"/>
        <v>0</v>
      </c>
      <c r="X298" s="141">
        <f t="shared" si="27"/>
        <v>0</v>
      </c>
      <c r="Y298" s="141">
        <v>0</v>
      </c>
    </row>
    <row r="299" spans="1:25" ht="15" x14ac:dyDescent="0.2">
      <c r="A299" s="235" t="s">
        <v>1028</v>
      </c>
      <c r="B299" s="236" t="s">
        <v>54</v>
      </c>
      <c r="C299" s="236"/>
      <c r="D299" s="535">
        <f>VLOOKUP(C299,'Seznam HS - nemaš'!$A$1:$B$96,2,FALSE)</f>
        <v>0</v>
      </c>
      <c r="E299" s="237" t="s">
        <v>1065</v>
      </c>
      <c r="F299" s="303" t="s">
        <v>398</v>
      </c>
      <c r="G299" s="303"/>
      <c r="H299" s="224">
        <f>+IF(ISBLANK(I299),0,VLOOKUP(I299,'8Příloha_2_ceník_pravid_úklid'!$B$9:$C$30,2,0))</f>
        <v>0</v>
      </c>
      <c r="I299" s="273"/>
      <c r="J299" s="241"/>
      <c r="K299" s="240"/>
      <c r="L299" s="242" t="s">
        <v>387</v>
      </c>
      <c r="M299" s="237"/>
      <c r="N299" s="229" t="s">
        <v>501</v>
      </c>
      <c r="O299" s="230">
        <v>0</v>
      </c>
      <c r="P299" s="230">
        <v>0</v>
      </c>
      <c r="Q299" s="230">
        <v>0</v>
      </c>
      <c r="R299" s="230">
        <v>0</v>
      </c>
      <c r="S299" s="231">
        <f>NETWORKDAYS.INTL(DATE(2018,1,1),DATE(2018,12,31),1,{"2018/1/1";"2018/3/30";"2018/4/2";"2018/5/1";"2018/5/8";"2018/7/5";"2018/7/6";"2018/09/28";"2018/11/17";"2018/12/24";"2018/12/25";"2018/12/26"})</f>
        <v>250</v>
      </c>
      <c r="T299" s="231">
        <f t="shared" si="23"/>
        <v>115</v>
      </c>
      <c r="U299" s="231">
        <f t="shared" si="24"/>
        <v>365</v>
      </c>
      <c r="V299" s="312">
        <f t="shared" si="25"/>
        <v>0</v>
      </c>
      <c r="W299" s="233">
        <f t="shared" si="26"/>
        <v>0</v>
      </c>
      <c r="X299" s="234">
        <f t="shared" si="27"/>
        <v>0</v>
      </c>
      <c r="Y299" s="234">
        <f t="shared" si="27"/>
        <v>0</v>
      </c>
    </row>
    <row r="300" spans="1:25" ht="15" x14ac:dyDescent="0.2">
      <c r="A300" s="276" t="s">
        <v>1028</v>
      </c>
      <c r="B300" s="23" t="s">
        <v>54</v>
      </c>
      <c r="C300" s="23" t="s">
        <v>191</v>
      </c>
      <c r="D300" s="139" t="str">
        <f>VLOOKUP(C300,'Seznam HS - nemaš'!$A$1:$B$96,2,FALSE)</f>
        <v>430400</v>
      </c>
      <c r="E300" s="22" t="s">
        <v>1066</v>
      </c>
      <c r="F300" s="30" t="s">
        <v>916</v>
      </c>
      <c r="G300" s="30"/>
      <c r="H300" s="28">
        <f>+IF(ISBLANK(I300),0,VLOOKUP(I300,'8Příloha_2_ceník_pravid_úklid'!$B$9:$C$30,2,0))</f>
        <v>3</v>
      </c>
      <c r="I300" s="143" t="s">
        <v>3</v>
      </c>
      <c r="J300" s="145">
        <v>2.2000000000000002</v>
      </c>
      <c r="K300" s="275" t="s">
        <v>51</v>
      </c>
      <c r="L300" s="156" t="s">
        <v>65</v>
      </c>
      <c r="M300" s="22" t="s">
        <v>49</v>
      </c>
      <c r="N300" s="24">
        <f>IF((VLOOKUP(I300,'8Příloha_2_ceník_pravid_úklid'!$B$9:$I$30,8,0))=0,VLOOKUP(I300,'8Příloha_2_ceník_pravid_úklid'!$B$9:$K$30,10,0),VLOOKUP(I300,'8Příloha_2_ceník_pravid_úklid'!$B$9:$I$30,8,0))</f>
        <v>0</v>
      </c>
      <c r="O300" s="20">
        <v>2</v>
      </c>
      <c r="P300" s="20">
        <v>1</v>
      </c>
      <c r="Q300" s="20">
        <v>0</v>
      </c>
      <c r="R300" s="20">
        <v>0</v>
      </c>
      <c r="S300" s="21">
        <f>NETWORKDAYS.INTL(DATE(2018,1,1),DATE(2018,12,31),1,{"2018/1/1";"2018/3/30";"2018/4/2";"2018/5/1";"2018/5/8";"2018/7/5";"2018/7/6";"2018/09/28";"2018/11/17";"2018/12/24";"2018/12/25";"2018/12/26"})</f>
        <v>250</v>
      </c>
      <c r="T300" s="21">
        <f t="shared" si="23"/>
        <v>115</v>
      </c>
      <c r="U300" s="21">
        <f t="shared" si="24"/>
        <v>365</v>
      </c>
      <c r="V300" s="311">
        <f t="shared" si="25"/>
        <v>500</v>
      </c>
      <c r="W300" s="140">
        <f t="shared" si="26"/>
        <v>0</v>
      </c>
      <c r="X300" s="141">
        <f t="shared" si="27"/>
        <v>0</v>
      </c>
      <c r="Y300" s="141">
        <v>0</v>
      </c>
    </row>
    <row r="301" spans="1:25" ht="15" x14ac:dyDescent="0.2">
      <c r="A301" s="276" t="s">
        <v>1028</v>
      </c>
      <c r="B301" s="23" t="s">
        <v>54</v>
      </c>
      <c r="C301" s="23" t="s">
        <v>191</v>
      </c>
      <c r="D301" s="139" t="str">
        <f>VLOOKUP(C301,'Seznam HS - nemaš'!$A$1:$B$96,2,FALSE)</f>
        <v>430400</v>
      </c>
      <c r="E301" s="22" t="s">
        <v>1067</v>
      </c>
      <c r="F301" s="30" t="s">
        <v>734</v>
      </c>
      <c r="G301" s="30" t="s">
        <v>442</v>
      </c>
      <c r="H301" s="28">
        <f>+IF(ISBLANK(I301),0,VLOOKUP(I301,'8Příloha_2_ceník_pravid_úklid'!$B$9:$C$30,2,0))</f>
        <v>7</v>
      </c>
      <c r="I301" s="143" t="s">
        <v>14</v>
      </c>
      <c r="J301" s="145">
        <v>2.4</v>
      </c>
      <c r="K301" s="275" t="s">
        <v>50</v>
      </c>
      <c r="L301" s="156" t="s">
        <v>65</v>
      </c>
      <c r="M301" s="22" t="s">
        <v>49</v>
      </c>
      <c r="N301" s="24">
        <f>IF((VLOOKUP(I301,'8Příloha_2_ceník_pravid_úklid'!$B$9:$I$30,8,0))=0,VLOOKUP(I301,'8Příloha_2_ceník_pravid_úklid'!$B$9:$K$30,10,0),VLOOKUP(I301,'8Příloha_2_ceník_pravid_úklid'!$B$9:$I$30,8,0))</f>
        <v>0</v>
      </c>
      <c r="O301" s="20">
        <v>2</v>
      </c>
      <c r="P301" s="20">
        <v>1</v>
      </c>
      <c r="Q301" s="20">
        <v>0</v>
      </c>
      <c r="R301" s="20">
        <v>0</v>
      </c>
      <c r="S301" s="21">
        <f>NETWORKDAYS.INTL(DATE(2018,1,1),DATE(2018,12,31),1,{"2018/1/1";"2018/3/30";"2018/4/2";"2018/5/1";"2018/5/8";"2018/7/5";"2018/7/6";"2018/09/28";"2018/11/17";"2018/12/24";"2018/12/25";"2018/12/26"})</f>
        <v>250</v>
      </c>
      <c r="T301" s="21">
        <f t="shared" si="23"/>
        <v>115</v>
      </c>
      <c r="U301" s="21">
        <f t="shared" si="24"/>
        <v>365</v>
      </c>
      <c r="V301" s="311">
        <f t="shared" si="25"/>
        <v>500</v>
      </c>
      <c r="W301" s="140">
        <f t="shared" si="26"/>
        <v>0</v>
      </c>
      <c r="X301" s="141">
        <f t="shared" si="27"/>
        <v>0</v>
      </c>
      <c r="Y301" s="141">
        <v>0</v>
      </c>
    </row>
    <row r="302" spans="1:25" ht="15" x14ac:dyDescent="0.2">
      <c r="A302" s="276" t="s">
        <v>767</v>
      </c>
      <c r="B302" s="23" t="s">
        <v>54</v>
      </c>
      <c r="C302" s="23"/>
      <c r="D302" s="139">
        <f>VLOOKUP(C302,'Seznam HS - nemaš'!$A$1:$B$96,2,FALSE)</f>
        <v>0</v>
      </c>
      <c r="E302" s="22" t="s">
        <v>1068</v>
      </c>
      <c r="F302" s="30" t="s">
        <v>336</v>
      </c>
      <c r="G302" s="30"/>
      <c r="H302" s="28">
        <f>+IF(ISBLANK(I302),0,VLOOKUP(I302,'8Příloha_2_ceník_pravid_úklid'!$B$9:$C$30,2,0))</f>
        <v>8</v>
      </c>
      <c r="I302" s="143" t="s">
        <v>11</v>
      </c>
      <c r="J302" s="245">
        <v>10.73</v>
      </c>
      <c r="K302" s="275" t="s">
        <v>64</v>
      </c>
      <c r="L302" s="30" t="s">
        <v>956</v>
      </c>
      <c r="M302" s="22" t="s">
        <v>49</v>
      </c>
      <c r="N302" s="24">
        <f>IF((VLOOKUP(I302,'8Příloha_2_ceník_pravid_úklid'!$B$9:$I$30,8,0))=0,VLOOKUP(I302,'8Příloha_2_ceník_pravid_úklid'!$B$9:$K$30,10,0),VLOOKUP(I302,'8Příloha_2_ceník_pravid_úklid'!$B$9:$I$30,8,0))</f>
        <v>0</v>
      </c>
      <c r="O302" s="20">
        <v>2</v>
      </c>
      <c r="P302" s="20">
        <v>1</v>
      </c>
      <c r="Q302" s="20">
        <v>1</v>
      </c>
      <c r="R302" s="20">
        <v>1</v>
      </c>
      <c r="S302" s="21">
        <f>NETWORKDAYS.INTL(DATE(2018,1,1),DATE(2018,12,31),1,{"2018/1/1";"2018/3/30";"2018/4/2";"2018/5/1";"2018/5/8";"2018/7/5";"2018/7/6";"2018/09/28";"2018/11/17";"2018/12/24";"2018/12/25";"2018/12/26"})</f>
        <v>250</v>
      </c>
      <c r="T302" s="21">
        <f t="shared" si="23"/>
        <v>115</v>
      </c>
      <c r="U302" s="21">
        <f t="shared" si="24"/>
        <v>365</v>
      </c>
      <c r="V302" s="311">
        <f t="shared" si="25"/>
        <v>615</v>
      </c>
      <c r="W302" s="140">
        <f t="shared" si="26"/>
        <v>0</v>
      </c>
      <c r="X302" s="141">
        <f t="shared" si="27"/>
        <v>0</v>
      </c>
      <c r="Y302" s="141">
        <v>0</v>
      </c>
    </row>
    <row r="303" spans="1:25" ht="15" x14ac:dyDescent="0.2">
      <c r="A303" s="235" t="s">
        <v>762</v>
      </c>
      <c r="B303" s="236" t="s">
        <v>54</v>
      </c>
      <c r="C303" s="236"/>
      <c r="D303" s="535">
        <f>VLOOKUP(C303,'Seznam HS - nemaš'!$A$1:$B$96,2,FALSE)</f>
        <v>0</v>
      </c>
      <c r="E303" s="237" t="s">
        <v>1069</v>
      </c>
      <c r="F303" s="303" t="s">
        <v>1070</v>
      </c>
      <c r="G303" s="303"/>
      <c r="H303" s="224">
        <f>+IF(ISBLANK(I303),0,VLOOKUP(I303,'8Příloha_2_ceník_pravid_úklid'!$B$9:$C$30,2,0))</f>
        <v>0</v>
      </c>
      <c r="I303" s="273"/>
      <c r="J303" s="239">
        <v>7.26</v>
      </c>
      <c r="K303" s="240"/>
      <c r="L303" s="242" t="s">
        <v>387</v>
      </c>
      <c r="M303" s="237"/>
      <c r="N303" s="229" t="s">
        <v>501</v>
      </c>
      <c r="O303" s="230">
        <v>0</v>
      </c>
      <c r="P303" s="230">
        <v>0</v>
      </c>
      <c r="Q303" s="230">
        <v>0</v>
      </c>
      <c r="R303" s="230">
        <v>0</v>
      </c>
      <c r="S303" s="231">
        <f>NETWORKDAYS.INTL(DATE(2018,1,1),DATE(2018,12,31),1,{"2018/1/1";"2018/3/30";"2018/4/2";"2018/5/1";"2018/5/8";"2018/7/5";"2018/7/6";"2018/09/28";"2018/11/17";"2018/12/24";"2018/12/25";"2018/12/26"})</f>
        <v>250</v>
      </c>
      <c r="T303" s="231">
        <f t="shared" si="23"/>
        <v>115</v>
      </c>
      <c r="U303" s="231">
        <f t="shared" si="24"/>
        <v>365</v>
      </c>
      <c r="V303" s="312">
        <f t="shared" si="25"/>
        <v>0</v>
      </c>
      <c r="W303" s="233">
        <f t="shared" si="26"/>
        <v>0</v>
      </c>
      <c r="X303" s="234">
        <f t="shared" si="27"/>
        <v>0</v>
      </c>
      <c r="Y303" s="234">
        <f t="shared" si="27"/>
        <v>0</v>
      </c>
    </row>
    <row r="304" spans="1:25" ht="15" x14ac:dyDescent="0.2">
      <c r="A304" s="235" t="s">
        <v>762</v>
      </c>
      <c r="B304" s="236" t="s">
        <v>54</v>
      </c>
      <c r="C304" s="236"/>
      <c r="D304" s="535">
        <f>VLOOKUP(C304,'Seznam HS - nemaš'!$A$1:$B$96,2,FALSE)</f>
        <v>0</v>
      </c>
      <c r="E304" s="237" t="s">
        <v>1071</v>
      </c>
      <c r="F304" s="303" t="s">
        <v>1072</v>
      </c>
      <c r="G304" s="303"/>
      <c r="H304" s="224">
        <f>+IF(ISBLANK(I304),0,VLOOKUP(I304,'8Příloha_2_ceník_pravid_úklid'!$B$9:$C$30,2,0))</f>
        <v>0</v>
      </c>
      <c r="I304" s="273"/>
      <c r="J304" s="239">
        <v>4.3099999999999996</v>
      </c>
      <c r="K304" s="240"/>
      <c r="L304" s="242" t="s">
        <v>387</v>
      </c>
      <c r="M304" s="237"/>
      <c r="N304" s="229" t="s">
        <v>501</v>
      </c>
      <c r="O304" s="230">
        <v>0</v>
      </c>
      <c r="P304" s="230">
        <v>0</v>
      </c>
      <c r="Q304" s="230">
        <v>0</v>
      </c>
      <c r="R304" s="230">
        <v>0</v>
      </c>
      <c r="S304" s="231">
        <f>NETWORKDAYS.INTL(DATE(2018,1,1),DATE(2018,12,31),1,{"2018/1/1";"2018/3/30";"2018/4/2";"2018/5/1";"2018/5/8";"2018/7/5";"2018/7/6";"2018/09/28";"2018/11/17";"2018/12/24";"2018/12/25";"2018/12/26"})</f>
        <v>250</v>
      </c>
      <c r="T304" s="231">
        <f t="shared" si="23"/>
        <v>115</v>
      </c>
      <c r="U304" s="231">
        <f t="shared" si="24"/>
        <v>365</v>
      </c>
      <c r="V304" s="312">
        <f t="shared" si="25"/>
        <v>0</v>
      </c>
      <c r="W304" s="233">
        <f t="shared" si="26"/>
        <v>0</v>
      </c>
      <c r="X304" s="234">
        <f t="shared" si="27"/>
        <v>0</v>
      </c>
      <c r="Y304" s="234">
        <f t="shared" si="27"/>
        <v>0</v>
      </c>
    </row>
    <row r="305" spans="1:25" ht="15" x14ac:dyDescent="0.2">
      <c r="A305" s="276" t="s">
        <v>767</v>
      </c>
      <c r="B305" s="23" t="s">
        <v>54</v>
      </c>
      <c r="C305" s="23"/>
      <c r="D305" s="139">
        <f>VLOOKUP(C305,'Seznam HS - nemaš'!$A$1:$B$96,2,FALSE)</f>
        <v>0</v>
      </c>
      <c r="E305" s="22" t="s">
        <v>1073</v>
      </c>
      <c r="F305" s="30" t="s">
        <v>350</v>
      </c>
      <c r="G305" s="30" t="s">
        <v>955</v>
      </c>
      <c r="H305" s="28">
        <f>+IF(ISBLANK(I305),0,VLOOKUP(I305,'8Příloha_2_ceník_pravid_úklid'!$B$9:$C$30,2,0))</f>
        <v>6</v>
      </c>
      <c r="I305" s="143" t="s">
        <v>1</v>
      </c>
      <c r="J305" s="245">
        <v>18.34</v>
      </c>
      <c r="K305" s="275" t="s">
        <v>50</v>
      </c>
      <c r="L305" s="156" t="s">
        <v>22</v>
      </c>
      <c r="M305" s="22" t="s">
        <v>49</v>
      </c>
      <c r="N305" s="24">
        <f>IF((VLOOKUP(I305,'8Příloha_2_ceník_pravid_úklid'!$B$9:$I$30,8,0))=0,VLOOKUP(I305,'8Příloha_2_ceník_pravid_úklid'!$B$9:$K$30,10,0),VLOOKUP(I305,'8Příloha_2_ceník_pravid_úklid'!$B$9:$I$30,8,0))</f>
        <v>0</v>
      </c>
      <c r="O305" s="20">
        <v>2</v>
      </c>
      <c r="P305" s="20">
        <v>1</v>
      </c>
      <c r="Q305" s="20">
        <v>2</v>
      </c>
      <c r="R305" s="20">
        <v>1</v>
      </c>
      <c r="S305" s="21">
        <f>NETWORKDAYS.INTL(DATE(2018,1,1),DATE(2018,12,31),1,{"2018/1/1";"2018/3/30";"2018/4/2";"2018/5/1";"2018/5/8";"2018/7/5";"2018/7/6";"2018/09/28";"2018/11/17";"2018/12/24";"2018/12/25";"2018/12/26"})</f>
        <v>250</v>
      </c>
      <c r="T305" s="21">
        <f t="shared" si="23"/>
        <v>115</v>
      </c>
      <c r="U305" s="21">
        <f t="shared" si="24"/>
        <v>365</v>
      </c>
      <c r="V305" s="311">
        <f t="shared" si="25"/>
        <v>730</v>
      </c>
      <c r="W305" s="140">
        <f t="shared" si="26"/>
        <v>0</v>
      </c>
      <c r="X305" s="141">
        <f t="shared" si="27"/>
        <v>0</v>
      </c>
      <c r="Y305" s="141">
        <v>0</v>
      </c>
    </row>
    <row r="306" spans="1:25" ht="15" x14ac:dyDescent="0.2">
      <c r="A306" s="276" t="s">
        <v>767</v>
      </c>
      <c r="B306" s="23" t="s">
        <v>54</v>
      </c>
      <c r="C306" s="23"/>
      <c r="D306" s="139">
        <f>VLOOKUP(C306,'Seznam HS - nemaš'!$A$1:$B$96,2,FALSE)</f>
        <v>0</v>
      </c>
      <c r="E306" s="22" t="s">
        <v>1074</v>
      </c>
      <c r="F306" s="30" t="s">
        <v>53</v>
      </c>
      <c r="G306" s="30" t="s">
        <v>796</v>
      </c>
      <c r="H306" s="28">
        <f>+IF(ISBLANK(I306),0,VLOOKUP(I306,'8Příloha_2_ceník_pravid_úklid'!$B$9:$C$30,2,0))</f>
        <v>6</v>
      </c>
      <c r="I306" s="143" t="s">
        <v>1</v>
      </c>
      <c r="J306" s="245">
        <v>51.55</v>
      </c>
      <c r="K306" s="275" t="s">
        <v>51</v>
      </c>
      <c r="L306" s="156" t="s">
        <v>22</v>
      </c>
      <c r="M306" s="22" t="s">
        <v>771</v>
      </c>
      <c r="N306" s="24">
        <f>IF((VLOOKUP(I306,'8Příloha_2_ceník_pravid_úklid'!$B$9:$I$30,8,0))=0,VLOOKUP(I306,'8Příloha_2_ceník_pravid_úklid'!$B$9:$K$30,10,0),VLOOKUP(I306,'8Příloha_2_ceník_pravid_úklid'!$B$9:$I$30,8,0))</f>
        <v>0</v>
      </c>
      <c r="O306" s="20">
        <v>2</v>
      </c>
      <c r="P306" s="20">
        <v>1</v>
      </c>
      <c r="Q306" s="20">
        <v>2</v>
      </c>
      <c r="R306" s="20">
        <v>1</v>
      </c>
      <c r="S306" s="21">
        <f>NETWORKDAYS.INTL(DATE(2018,1,1),DATE(2018,12,31),1,{"2018/1/1";"2018/3/30";"2018/4/2";"2018/5/1";"2018/5/8";"2018/7/5";"2018/7/6";"2018/09/28";"2018/11/17";"2018/12/24";"2018/12/25";"2018/12/26"})</f>
        <v>250</v>
      </c>
      <c r="T306" s="21">
        <f t="shared" si="23"/>
        <v>115</v>
      </c>
      <c r="U306" s="21">
        <f t="shared" si="24"/>
        <v>365</v>
      </c>
      <c r="V306" s="311">
        <f t="shared" si="25"/>
        <v>730</v>
      </c>
      <c r="W306" s="140">
        <f t="shared" si="26"/>
        <v>0</v>
      </c>
      <c r="X306" s="141">
        <f t="shared" si="27"/>
        <v>0</v>
      </c>
      <c r="Y306" s="141">
        <v>0</v>
      </c>
    </row>
    <row r="307" spans="1:25" ht="15" x14ac:dyDescent="0.2">
      <c r="A307" s="235" t="s">
        <v>762</v>
      </c>
      <c r="B307" s="236" t="s">
        <v>54</v>
      </c>
      <c r="C307" s="236"/>
      <c r="D307" s="535">
        <f>VLOOKUP(C307,'Seznam HS - nemaš'!$A$1:$B$96,2,FALSE)</f>
        <v>0</v>
      </c>
      <c r="E307" s="237" t="s">
        <v>1075</v>
      </c>
      <c r="F307" s="303" t="s">
        <v>1076</v>
      </c>
      <c r="G307" s="303" t="s">
        <v>1077</v>
      </c>
      <c r="H307" s="224">
        <f>+IF(ISBLANK(I307),0,VLOOKUP(I307,'8Příloha_2_ceník_pravid_úklid'!$B$9:$C$30,2,0))</f>
        <v>0</v>
      </c>
      <c r="I307" s="273"/>
      <c r="J307" s="239"/>
      <c r="K307" s="240"/>
      <c r="L307" s="242" t="s">
        <v>387</v>
      </c>
      <c r="M307" s="237"/>
      <c r="N307" s="229" t="s">
        <v>501</v>
      </c>
      <c r="O307" s="230">
        <v>0</v>
      </c>
      <c r="P307" s="230">
        <v>0</v>
      </c>
      <c r="Q307" s="230">
        <v>0</v>
      </c>
      <c r="R307" s="230">
        <v>0</v>
      </c>
      <c r="S307" s="231">
        <f>NETWORKDAYS.INTL(DATE(2018,1,1),DATE(2018,12,31),1,{"2018/1/1";"2018/3/30";"2018/4/2";"2018/5/1";"2018/5/8";"2018/7/5";"2018/7/6";"2018/09/28";"2018/11/17";"2018/12/24";"2018/12/25";"2018/12/26"})</f>
        <v>250</v>
      </c>
      <c r="T307" s="231">
        <f t="shared" si="23"/>
        <v>115</v>
      </c>
      <c r="U307" s="231">
        <f t="shared" si="24"/>
        <v>365</v>
      </c>
      <c r="V307" s="312">
        <f t="shared" si="25"/>
        <v>0</v>
      </c>
      <c r="W307" s="233">
        <f t="shared" si="26"/>
        <v>0</v>
      </c>
      <c r="X307" s="234">
        <f t="shared" si="27"/>
        <v>0</v>
      </c>
      <c r="Y307" s="234">
        <f t="shared" si="27"/>
        <v>0</v>
      </c>
    </row>
    <row r="308" spans="1:25" ht="15" x14ac:dyDescent="0.2">
      <c r="A308" s="276" t="s">
        <v>1078</v>
      </c>
      <c r="B308" s="23" t="s">
        <v>54</v>
      </c>
      <c r="C308" s="23" t="s">
        <v>217</v>
      </c>
      <c r="D308" s="139" t="str">
        <f>VLOOKUP(C308,'Seznam HS - nemaš'!$A$1:$B$96,2,FALSE)</f>
        <v>451500</v>
      </c>
      <c r="E308" s="22" t="s">
        <v>1079</v>
      </c>
      <c r="F308" s="30" t="s">
        <v>383</v>
      </c>
      <c r="G308" s="30" t="s">
        <v>1080</v>
      </c>
      <c r="H308" s="28">
        <f>+IF(ISBLANK(I308),0,VLOOKUP(I308,'8Příloha_2_ceník_pravid_úklid'!$B$9:$C$30,2,0))</f>
        <v>6</v>
      </c>
      <c r="I308" s="143" t="s">
        <v>1</v>
      </c>
      <c r="J308" s="145">
        <v>70.14</v>
      </c>
      <c r="K308" s="275" t="s">
        <v>51</v>
      </c>
      <c r="L308" s="156" t="s">
        <v>65</v>
      </c>
      <c r="M308" s="22" t="s">
        <v>49</v>
      </c>
      <c r="N308" s="24">
        <f>IF((VLOOKUP(I308,'8Příloha_2_ceník_pravid_úklid'!$B$9:$I$30,8,0))=0,VLOOKUP(I308,'8Příloha_2_ceník_pravid_úklid'!$B$9:$K$30,10,0),VLOOKUP(I308,'8Příloha_2_ceník_pravid_úklid'!$B$9:$I$30,8,0))</f>
        <v>0</v>
      </c>
      <c r="O308" s="20">
        <v>2</v>
      </c>
      <c r="P308" s="20">
        <v>1</v>
      </c>
      <c r="Q308" s="20">
        <v>0</v>
      </c>
      <c r="R308" s="20">
        <v>0</v>
      </c>
      <c r="S308" s="21">
        <f>NETWORKDAYS.INTL(DATE(2018,1,1),DATE(2018,12,31),1,{"2018/1/1";"2018/3/30";"2018/4/2";"2018/5/1";"2018/5/8";"2018/7/5";"2018/7/6";"2018/09/28";"2018/11/17";"2018/12/24";"2018/12/25";"2018/12/26"})</f>
        <v>250</v>
      </c>
      <c r="T308" s="21">
        <f t="shared" si="23"/>
        <v>115</v>
      </c>
      <c r="U308" s="21">
        <f t="shared" si="24"/>
        <v>365</v>
      </c>
      <c r="V308" s="311">
        <f t="shared" si="25"/>
        <v>500</v>
      </c>
      <c r="W308" s="140">
        <f t="shared" si="26"/>
        <v>0</v>
      </c>
      <c r="X308" s="141">
        <f t="shared" si="27"/>
        <v>0</v>
      </c>
      <c r="Y308" s="141">
        <v>0</v>
      </c>
    </row>
    <row r="309" spans="1:25" ht="15" x14ac:dyDescent="0.2">
      <c r="A309" s="276" t="s">
        <v>1078</v>
      </c>
      <c r="B309" s="23" t="s">
        <v>54</v>
      </c>
      <c r="C309" s="23" t="s">
        <v>217</v>
      </c>
      <c r="D309" s="139" t="str">
        <f>VLOOKUP(C309,'Seznam HS - nemaš'!$A$1:$B$96,2,FALSE)</f>
        <v>451500</v>
      </c>
      <c r="E309" s="22" t="s">
        <v>1081</v>
      </c>
      <c r="F309" s="30" t="s">
        <v>463</v>
      </c>
      <c r="G309" s="30"/>
      <c r="H309" s="28">
        <f>+IF(ISBLANK(I309),0,VLOOKUP(I309,'8Příloha_2_ceník_pravid_úklid'!$B$9:$C$30,2,0))</f>
        <v>17</v>
      </c>
      <c r="I309" s="143" t="s">
        <v>13</v>
      </c>
      <c r="J309" s="145">
        <v>10.029999999999999</v>
      </c>
      <c r="K309" s="275" t="s">
        <v>51</v>
      </c>
      <c r="L309" s="156" t="s">
        <v>1742</v>
      </c>
      <c r="M309" s="22" t="s">
        <v>49</v>
      </c>
      <c r="N309" s="24">
        <f>IF((VLOOKUP(I309,'8Příloha_2_ceník_pravid_úklid'!$B$9:$I$30,8,0))=0,VLOOKUP(I309,'8Příloha_2_ceník_pravid_úklid'!$B$9:$K$30,10,0),VLOOKUP(I309,'8Příloha_2_ceník_pravid_úklid'!$B$9:$I$30,8,0))</f>
        <v>0</v>
      </c>
      <c r="O309" s="20">
        <v>1</v>
      </c>
      <c r="P309" s="20">
        <f t="shared" ref="P309:P314" si="28">1/5</f>
        <v>0.2</v>
      </c>
      <c r="Q309" s="20">
        <v>0</v>
      </c>
      <c r="R309" s="20">
        <v>0</v>
      </c>
      <c r="S309" s="21">
        <f>NETWORKDAYS.INTL(DATE(2018,1,1),DATE(2018,12,31),1,{"2018/1/1";"2018/3/30";"2018/4/2";"2018/5/1";"2018/5/8";"2018/7/5";"2018/7/6";"2018/09/28";"2018/11/17";"2018/12/24";"2018/12/25";"2018/12/26"})</f>
        <v>250</v>
      </c>
      <c r="T309" s="21">
        <f t="shared" si="23"/>
        <v>115</v>
      </c>
      <c r="U309" s="21">
        <f t="shared" si="24"/>
        <v>365</v>
      </c>
      <c r="V309" s="311">
        <f t="shared" si="25"/>
        <v>50</v>
      </c>
      <c r="W309" s="140">
        <f t="shared" si="26"/>
        <v>0</v>
      </c>
      <c r="X309" s="141">
        <f t="shared" si="27"/>
        <v>0</v>
      </c>
      <c r="Y309" s="141">
        <v>0</v>
      </c>
    </row>
    <row r="310" spans="1:25" ht="15" x14ac:dyDescent="0.2">
      <c r="A310" s="276" t="s">
        <v>1078</v>
      </c>
      <c r="B310" s="23" t="s">
        <v>54</v>
      </c>
      <c r="C310" s="23" t="s">
        <v>217</v>
      </c>
      <c r="D310" s="139" t="str">
        <f>VLOOKUP(C310,'Seznam HS - nemaš'!$A$1:$B$96,2,FALSE)</f>
        <v>451500</v>
      </c>
      <c r="E310" s="22" t="s">
        <v>1083</v>
      </c>
      <c r="F310" s="30" t="s">
        <v>1084</v>
      </c>
      <c r="G310" s="30"/>
      <c r="H310" s="28">
        <f>+IF(ISBLANK(I310),0,VLOOKUP(I310,'8Příloha_2_ceník_pravid_úklid'!$B$9:$C$30,2,0))</f>
        <v>4</v>
      </c>
      <c r="I310" s="143" t="s">
        <v>9</v>
      </c>
      <c r="J310" s="145">
        <v>14</v>
      </c>
      <c r="K310" s="275" t="s">
        <v>51</v>
      </c>
      <c r="L310" s="156" t="s">
        <v>1742</v>
      </c>
      <c r="M310" s="22" t="s">
        <v>49</v>
      </c>
      <c r="N310" s="24">
        <f>IF((VLOOKUP(I310,'8Příloha_2_ceník_pravid_úklid'!$B$9:$I$30,8,0))=0,VLOOKUP(I310,'8Příloha_2_ceník_pravid_úklid'!$B$9:$K$30,10,0),VLOOKUP(I310,'8Příloha_2_ceník_pravid_úklid'!$B$9:$I$30,8,0))</f>
        <v>0</v>
      </c>
      <c r="O310" s="20">
        <v>1</v>
      </c>
      <c r="P310" s="20">
        <f t="shared" si="28"/>
        <v>0.2</v>
      </c>
      <c r="Q310" s="20">
        <v>0</v>
      </c>
      <c r="R310" s="20">
        <v>0</v>
      </c>
      <c r="S310" s="21">
        <f>NETWORKDAYS.INTL(DATE(2018,1,1),DATE(2018,12,31),1,{"2018/1/1";"2018/3/30";"2018/4/2";"2018/5/1";"2018/5/8";"2018/7/5";"2018/7/6";"2018/09/28";"2018/11/17";"2018/12/24";"2018/12/25";"2018/12/26"})</f>
        <v>250</v>
      </c>
      <c r="T310" s="21">
        <f t="shared" si="23"/>
        <v>115</v>
      </c>
      <c r="U310" s="21">
        <f t="shared" si="24"/>
        <v>365</v>
      </c>
      <c r="V310" s="311">
        <f t="shared" si="25"/>
        <v>50</v>
      </c>
      <c r="W310" s="140">
        <f t="shared" si="26"/>
        <v>0</v>
      </c>
      <c r="X310" s="141">
        <f t="shared" si="27"/>
        <v>0</v>
      </c>
      <c r="Y310" s="141">
        <v>0</v>
      </c>
    </row>
    <row r="311" spans="1:25" ht="15" x14ac:dyDescent="0.2">
      <c r="A311" s="276" t="s">
        <v>1078</v>
      </c>
      <c r="B311" s="23" t="s">
        <v>54</v>
      </c>
      <c r="C311" s="23" t="s">
        <v>217</v>
      </c>
      <c r="D311" s="139" t="str">
        <f>VLOOKUP(C311,'Seznam HS - nemaš'!$A$1:$B$96,2,FALSE)</f>
        <v>451500</v>
      </c>
      <c r="E311" s="22" t="s">
        <v>1085</v>
      </c>
      <c r="F311" s="30" t="s">
        <v>612</v>
      </c>
      <c r="G311" s="30" t="s">
        <v>1086</v>
      </c>
      <c r="H311" s="28">
        <f>+IF(ISBLANK(I311),0,VLOOKUP(I311,'8Příloha_2_ceník_pravid_úklid'!$B$9:$C$30,2,0))</f>
        <v>3</v>
      </c>
      <c r="I311" s="143" t="s">
        <v>3</v>
      </c>
      <c r="J311" s="145">
        <v>39.729999999999997</v>
      </c>
      <c r="K311" s="275" t="s">
        <v>51</v>
      </c>
      <c r="L311" s="156" t="s">
        <v>1742</v>
      </c>
      <c r="M311" s="22" t="s">
        <v>49</v>
      </c>
      <c r="N311" s="24">
        <f>IF((VLOOKUP(I311,'8Příloha_2_ceník_pravid_úklid'!$B$9:$I$30,8,0))=0,VLOOKUP(I311,'8Příloha_2_ceník_pravid_úklid'!$B$9:$K$30,10,0),VLOOKUP(I311,'8Příloha_2_ceník_pravid_úklid'!$B$9:$I$30,8,0))</f>
        <v>0</v>
      </c>
      <c r="O311" s="20">
        <v>1</v>
      </c>
      <c r="P311" s="20">
        <f t="shared" si="28"/>
        <v>0.2</v>
      </c>
      <c r="Q311" s="20">
        <v>0</v>
      </c>
      <c r="R311" s="20">
        <v>0</v>
      </c>
      <c r="S311" s="21">
        <f>NETWORKDAYS.INTL(DATE(2018,1,1),DATE(2018,12,31),1,{"2018/1/1";"2018/3/30";"2018/4/2";"2018/5/1";"2018/5/8";"2018/7/5";"2018/7/6";"2018/09/28";"2018/11/17";"2018/12/24";"2018/12/25";"2018/12/26"})</f>
        <v>250</v>
      </c>
      <c r="T311" s="21">
        <f t="shared" si="23"/>
        <v>115</v>
      </c>
      <c r="U311" s="21">
        <f t="shared" si="24"/>
        <v>365</v>
      </c>
      <c r="V311" s="311">
        <f t="shared" si="25"/>
        <v>50</v>
      </c>
      <c r="W311" s="140">
        <f t="shared" si="26"/>
        <v>0</v>
      </c>
      <c r="X311" s="141">
        <f t="shared" si="27"/>
        <v>0</v>
      </c>
      <c r="Y311" s="141">
        <v>0</v>
      </c>
    </row>
    <row r="312" spans="1:25" ht="15" x14ac:dyDescent="0.2">
      <c r="A312" s="276" t="s">
        <v>1078</v>
      </c>
      <c r="B312" s="23" t="s">
        <v>54</v>
      </c>
      <c r="C312" s="23" t="s">
        <v>217</v>
      </c>
      <c r="D312" s="139" t="str">
        <f>VLOOKUP(C312,'Seznam HS - nemaš'!$A$1:$B$96,2,FALSE)</f>
        <v>451500</v>
      </c>
      <c r="E312" s="22" t="s">
        <v>1087</v>
      </c>
      <c r="F312" s="30" t="s">
        <v>916</v>
      </c>
      <c r="G312" s="30"/>
      <c r="H312" s="28">
        <f>+IF(ISBLANK(I312),0,VLOOKUP(I312,'8Příloha_2_ceník_pravid_úklid'!$B$9:$C$30,2,0))</f>
        <v>3</v>
      </c>
      <c r="I312" s="143" t="s">
        <v>3</v>
      </c>
      <c r="J312" s="145">
        <v>1.18</v>
      </c>
      <c r="K312" s="275" t="s">
        <v>51</v>
      </c>
      <c r="L312" s="156" t="s">
        <v>1742</v>
      </c>
      <c r="M312" s="22" t="s">
        <v>49</v>
      </c>
      <c r="N312" s="24">
        <f>IF((VLOOKUP(I312,'8Příloha_2_ceník_pravid_úklid'!$B$9:$I$30,8,0))=0,VLOOKUP(I312,'8Příloha_2_ceník_pravid_úklid'!$B$9:$K$30,10,0),VLOOKUP(I312,'8Příloha_2_ceník_pravid_úklid'!$B$9:$I$30,8,0))</f>
        <v>0</v>
      </c>
      <c r="O312" s="20">
        <v>1</v>
      </c>
      <c r="P312" s="20">
        <f t="shared" si="28"/>
        <v>0.2</v>
      </c>
      <c r="Q312" s="20">
        <v>0</v>
      </c>
      <c r="R312" s="20">
        <v>0</v>
      </c>
      <c r="S312" s="21">
        <f>NETWORKDAYS.INTL(DATE(2018,1,1),DATE(2018,12,31),1,{"2018/1/1";"2018/3/30";"2018/4/2";"2018/5/1";"2018/5/8";"2018/7/5";"2018/7/6";"2018/09/28";"2018/11/17";"2018/12/24";"2018/12/25";"2018/12/26"})</f>
        <v>250</v>
      </c>
      <c r="T312" s="21">
        <f t="shared" si="23"/>
        <v>115</v>
      </c>
      <c r="U312" s="21">
        <f t="shared" si="24"/>
        <v>365</v>
      </c>
      <c r="V312" s="311">
        <f t="shared" si="25"/>
        <v>50</v>
      </c>
      <c r="W312" s="140">
        <f t="shared" si="26"/>
        <v>0</v>
      </c>
      <c r="X312" s="141">
        <f t="shared" si="27"/>
        <v>0</v>
      </c>
      <c r="Y312" s="141">
        <v>0</v>
      </c>
    </row>
    <row r="313" spans="1:25" ht="15" x14ac:dyDescent="0.2">
      <c r="A313" s="276" t="s">
        <v>1078</v>
      </c>
      <c r="B313" s="23" t="s">
        <v>54</v>
      </c>
      <c r="C313" s="23" t="s">
        <v>217</v>
      </c>
      <c r="D313" s="139" t="str">
        <f>VLOOKUP(C313,'Seznam HS - nemaš'!$A$1:$B$96,2,FALSE)</f>
        <v>451500</v>
      </c>
      <c r="E313" s="22" t="s">
        <v>1088</v>
      </c>
      <c r="F313" s="30" t="s">
        <v>916</v>
      </c>
      <c r="G313" s="30"/>
      <c r="H313" s="28">
        <f>+IF(ISBLANK(I313),0,VLOOKUP(I313,'8Příloha_2_ceník_pravid_úklid'!$B$9:$C$30,2,0))</f>
        <v>3</v>
      </c>
      <c r="I313" s="143" t="s">
        <v>3</v>
      </c>
      <c r="J313" s="145">
        <v>1.19</v>
      </c>
      <c r="K313" s="275" t="s">
        <v>51</v>
      </c>
      <c r="L313" s="156" t="s">
        <v>1742</v>
      </c>
      <c r="M313" s="22" t="s">
        <v>49</v>
      </c>
      <c r="N313" s="24">
        <f>IF((VLOOKUP(I313,'8Příloha_2_ceník_pravid_úklid'!$B$9:$I$30,8,0))=0,VLOOKUP(I313,'8Příloha_2_ceník_pravid_úklid'!$B$9:$K$30,10,0),VLOOKUP(I313,'8Příloha_2_ceník_pravid_úklid'!$B$9:$I$30,8,0))</f>
        <v>0</v>
      </c>
      <c r="O313" s="20">
        <v>1</v>
      </c>
      <c r="P313" s="20">
        <f t="shared" si="28"/>
        <v>0.2</v>
      </c>
      <c r="Q313" s="20">
        <v>0</v>
      </c>
      <c r="R313" s="20">
        <v>0</v>
      </c>
      <c r="S313" s="21">
        <f>NETWORKDAYS.INTL(DATE(2018,1,1),DATE(2018,12,31),1,{"2018/1/1";"2018/3/30";"2018/4/2";"2018/5/1";"2018/5/8";"2018/7/5";"2018/7/6";"2018/09/28";"2018/11/17";"2018/12/24";"2018/12/25";"2018/12/26"})</f>
        <v>250</v>
      </c>
      <c r="T313" s="21">
        <f t="shared" si="23"/>
        <v>115</v>
      </c>
      <c r="U313" s="21">
        <f t="shared" si="24"/>
        <v>365</v>
      </c>
      <c r="V313" s="311">
        <f t="shared" si="25"/>
        <v>50</v>
      </c>
      <c r="W313" s="140">
        <f t="shared" si="26"/>
        <v>0</v>
      </c>
      <c r="X313" s="141">
        <f t="shared" si="27"/>
        <v>0</v>
      </c>
      <c r="Y313" s="141">
        <v>0</v>
      </c>
    </row>
    <row r="314" spans="1:25" ht="15" x14ac:dyDescent="0.2">
      <c r="A314" s="276" t="s">
        <v>1078</v>
      </c>
      <c r="B314" s="23" t="s">
        <v>54</v>
      </c>
      <c r="C314" s="23" t="s">
        <v>217</v>
      </c>
      <c r="D314" s="139" t="str">
        <f>VLOOKUP(C314,'Seznam HS - nemaš'!$A$1:$B$96,2,FALSE)</f>
        <v>451500</v>
      </c>
      <c r="E314" s="22" t="s">
        <v>1089</v>
      </c>
      <c r="F314" s="30" t="s">
        <v>1090</v>
      </c>
      <c r="G314" s="30"/>
      <c r="H314" s="28">
        <f>+IF(ISBLANK(I314),0,VLOOKUP(I314,'8Příloha_2_ceník_pravid_úklid'!$B$9:$C$30,2,0))</f>
        <v>7</v>
      </c>
      <c r="I314" s="143" t="s">
        <v>14</v>
      </c>
      <c r="J314" s="145">
        <v>3.54</v>
      </c>
      <c r="K314" s="275" t="s">
        <v>50</v>
      </c>
      <c r="L314" s="156" t="s">
        <v>1742</v>
      </c>
      <c r="M314" s="22" t="s">
        <v>49</v>
      </c>
      <c r="N314" s="24">
        <f>IF((VLOOKUP(I314,'8Příloha_2_ceník_pravid_úklid'!$B$9:$I$30,8,0))=0,VLOOKUP(I314,'8Příloha_2_ceník_pravid_úklid'!$B$9:$K$30,10,0),VLOOKUP(I314,'8Příloha_2_ceník_pravid_úklid'!$B$9:$I$30,8,0))</f>
        <v>0</v>
      </c>
      <c r="O314" s="20">
        <v>1</v>
      </c>
      <c r="P314" s="20">
        <f t="shared" si="28"/>
        <v>0.2</v>
      </c>
      <c r="Q314" s="20">
        <v>0</v>
      </c>
      <c r="R314" s="20">
        <v>0</v>
      </c>
      <c r="S314" s="21">
        <f>NETWORKDAYS.INTL(DATE(2018,1,1),DATE(2018,12,31),1,{"2018/1/1";"2018/3/30";"2018/4/2";"2018/5/1";"2018/5/8";"2018/7/5";"2018/7/6";"2018/09/28";"2018/11/17";"2018/12/24";"2018/12/25";"2018/12/26"})</f>
        <v>250</v>
      </c>
      <c r="T314" s="21">
        <f t="shared" si="23"/>
        <v>115</v>
      </c>
      <c r="U314" s="21">
        <f t="shared" si="24"/>
        <v>365</v>
      </c>
      <c r="V314" s="311">
        <f t="shared" si="25"/>
        <v>50</v>
      </c>
      <c r="W314" s="140">
        <f t="shared" si="26"/>
        <v>0</v>
      </c>
      <c r="X314" s="141">
        <f t="shared" si="27"/>
        <v>0</v>
      </c>
      <c r="Y314" s="141">
        <v>0</v>
      </c>
    </row>
    <row r="315" spans="1:25" ht="15" x14ac:dyDescent="0.2">
      <c r="A315" s="276" t="s">
        <v>1078</v>
      </c>
      <c r="B315" s="23" t="s">
        <v>54</v>
      </c>
      <c r="C315" s="23" t="s">
        <v>217</v>
      </c>
      <c r="D315" s="139" t="str">
        <f>VLOOKUP(C315,'Seznam HS - nemaš'!$A$1:$B$96,2,FALSE)</f>
        <v>451500</v>
      </c>
      <c r="E315" s="22" t="s">
        <v>1091</v>
      </c>
      <c r="F315" s="30" t="s">
        <v>558</v>
      </c>
      <c r="G315" s="30" t="s">
        <v>1092</v>
      </c>
      <c r="H315" s="28">
        <f>+IF(ISBLANK(I315),0,VLOOKUP(I315,'8Příloha_2_ceník_pravid_úklid'!$B$9:$C$30,2,0))</f>
        <v>3</v>
      </c>
      <c r="I315" s="143" t="s">
        <v>3</v>
      </c>
      <c r="J315" s="145">
        <v>18.96</v>
      </c>
      <c r="K315" s="275" t="s">
        <v>51</v>
      </c>
      <c r="L315" s="156" t="s">
        <v>65</v>
      </c>
      <c r="M315" s="22" t="s">
        <v>49</v>
      </c>
      <c r="N315" s="24">
        <f>IF((VLOOKUP(I315,'8Příloha_2_ceník_pravid_úklid'!$B$9:$I$30,8,0))=0,VLOOKUP(I315,'8Příloha_2_ceník_pravid_úklid'!$B$9:$K$30,10,0),VLOOKUP(I315,'8Příloha_2_ceník_pravid_úklid'!$B$9:$I$30,8,0))</f>
        <v>0</v>
      </c>
      <c r="O315" s="20">
        <v>2</v>
      </c>
      <c r="P315" s="20">
        <v>1</v>
      </c>
      <c r="Q315" s="20">
        <v>0</v>
      </c>
      <c r="R315" s="20">
        <v>0</v>
      </c>
      <c r="S315" s="21">
        <f>NETWORKDAYS.INTL(DATE(2018,1,1),DATE(2018,12,31),1,{"2018/1/1";"2018/3/30";"2018/4/2";"2018/5/1";"2018/5/8";"2018/7/5";"2018/7/6";"2018/09/28";"2018/11/17";"2018/12/24";"2018/12/25";"2018/12/26"})</f>
        <v>250</v>
      </c>
      <c r="T315" s="21">
        <f t="shared" si="23"/>
        <v>115</v>
      </c>
      <c r="U315" s="21">
        <f t="shared" si="24"/>
        <v>365</v>
      </c>
      <c r="V315" s="311">
        <f t="shared" si="25"/>
        <v>500</v>
      </c>
      <c r="W315" s="140">
        <f t="shared" si="26"/>
        <v>0</v>
      </c>
      <c r="X315" s="141">
        <f t="shared" si="27"/>
        <v>0</v>
      </c>
      <c r="Y315" s="141">
        <v>0</v>
      </c>
    </row>
    <row r="316" spans="1:25" ht="15" x14ac:dyDescent="0.2">
      <c r="A316" s="276" t="s">
        <v>1078</v>
      </c>
      <c r="B316" s="23" t="s">
        <v>54</v>
      </c>
      <c r="C316" s="23" t="s">
        <v>217</v>
      </c>
      <c r="D316" s="139" t="str">
        <f>VLOOKUP(C316,'Seznam HS - nemaš'!$A$1:$B$96,2,FALSE)</f>
        <v>451500</v>
      </c>
      <c r="E316" s="22" t="s">
        <v>1093</v>
      </c>
      <c r="F316" s="30" t="s">
        <v>612</v>
      </c>
      <c r="G316" s="30" t="s">
        <v>599</v>
      </c>
      <c r="H316" s="28">
        <f>+IF(ISBLANK(I316),0,VLOOKUP(I316,'8Příloha_2_ceník_pravid_úklid'!$B$9:$C$30,2,0))</f>
        <v>3</v>
      </c>
      <c r="I316" s="143" t="s">
        <v>3</v>
      </c>
      <c r="J316" s="145">
        <v>21.83</v>
      </c>
      <c r="K316" s="275" t="s">
        <v>51</v>
      </c>
      <c r="L316" s="156" t="s">
        <v>65</v>
      </c>
      <c r="M316" s="22" t="s">
        <v>49</v>
      </c>
      <c r="N316" s="24">
        <f>IF((VLOOKUP(I316,'8Příloha_2_ceník_pravid_úklid'!$B$9:$I$30,8,0))=0,VLOOKUP(I316,'8Příloha_2_ceník_pravid_úklid'!$B$9:$K$30,10,0),VLOOKUP(I316,'8Příloha_2_ceník_pravid_úklid'!$B$9:$I$30,8,0))</f>
        <v>0</v>
      </c>
      <c r="O316" s="20">
        <v>2</v>
      </c>
      <c r="P316" s="20">
        <v>1</v>
      </c>
      <c r="Q316" s="20">
        <v>0</v>
      </c>
      <c r="R316" s="20">
        <v>0</v>
      </c>
      <c r="S316" s="21">
        <f>NETWORKDAYS.INTL(DATE(2018,1,1),DATE(2018,12,31),1,{"2018/1/1";"2018/3/30";"2018/4/2";"2018/5/1";"2018/5/8";"2018/7/5";"2018/7/6";"2018/09/28";"2018/11/17";"2018/12/24";"2018/12/25";"2018/12/26"})</f>
        <v>250</v>
      </c>
      <c r="T316" s="21">
        <f t="shared" si="23"/>
        <v>115</v>
      </c>
      <c r="U316" s="21">
        <f t="shared" si="24"/>
        <v>365</v>
      </c>
      <c r="V316" s="311">
        <f t="shared" si="25"/>
        <v>500</v>
      </c>
      <c r="W316" s="140">
        <f t="shared" si="26"/>
        <v>0</v>
      </c>
      <c r="X316" s="141">
        <f t="shared" si="27"/>
        <v>0</v>
      </c>
      <c r="Y316" s="141">
        <v>0</v>
      </c>
    </row>
    <row r="317" spans="1:25" ht="15" x14ac:dyDescent="0.2">
      <c r="A317" s="276" t="s">
        <v>1078</v>
      </c>
      <c r="B317" s="23" t="s">
        <v>54</v>
      </c>
      <c r="C317" s="23" t="s">
        <v>217</v>
      </c>
      <c r="D317" s="139" t="str">
        <f>VLOOKUP(C317,'Seznam HS - nemaš'!$A$1:$B$96,2,FALSE)</f>
        <v>451500</v>
      </c>
      <c r="E317" s="22" t="s">
        <v>1094</v>
      </c>
      <c r="F317" s="30" t="s">
        <v>916</v>
      </c>
      <c r="G317" s="30" t="s">
        <v>599</v>
      </c>
      <c r="H317" s="28">
        <f>+IF(ISBLANK(I317),0,VLOOKUP(I317,'8Příloha_2_ceník_pravid_úklid'!$B$9:$C$30,2,0))</f>
        <v>3</v>
      </c>
      <c r="I317" s="143" t="s">
        <v>3</v>
      </c>
      <c r="J317" s="145">
        <v>1.5</v>
      </c>
      <c r="K317" s="275" t="s">
        <v>51</v>
      </c>
      <c r="L317" s="156" t="s">
        <v>65</v>
      </c>
      <c r="M317" s="22" t="s">
        <v>49</v>
      </c>
      <c r="N317" s="24">
        <f>IF((VLOOKUP(I317,'8Příloha_2_ceník_pravid_úklid'!$B$9:$I$30,8,0))=0,VLOOKUP(I317,'8Příloha_2_ceník_pravid_úklid'!$B$9:$K$30,10,0),VLOOKUP(I317,'8Příloha_2_ceník_pravid_úklid'!$B$9:$I$30,8,0))</f>
        <v>0</v>
      </c>
      <c r="O317" s="20">
        <v>2</v>
      </c>
      <c r="P317" s="20">
        <v>1</v>
      </c>
      <c r="Q317" s="20">
        <v>0</v>
      </c>
      <c r="R317" s="20">
        <v>0</v>
      </c>
      <c r="S317" s="21">
        <f>NETWORKDAYS.INTL(DATE(2018,1,1),DATE(2018,12,31),1,{"2018/1/1";"2018/3/30";"2018/4/2";"2018/5/1";"2018/5/8";"2018/7/5";"2018/7/6";"2018/09/28";"2018/11/17";"2018/12/24";"2018/12/25";"2018/12/26"})</f>
        <v>250</v>
      </c>
      <c r="T317" s="21">
        <f t="shared" si="23"/>
        <v>115</v>
      </c>
      <c r="U317" s="21">
        <f t="shared" si="24"/>
        <v>365</v>
      </c>
      <c r="V317" s="311">
        <f t="shared" si="25"/>
        <v>500</v>
      </c>
      <c r="W317" s="140">
        <f t="shared" si="26"/>
        <v>0</v>
      </c>
      <c r="X317" s="141">
        <f t="shared" si="27"/>
        <v>0</v>
      </c>
      <c r="Y317" s="141">
        <v>0</v>
      </c>
    </row>
    <row r="318" spans="1:25" ht="15" x14ac:dyDescent="0.2">
      <c r="A318" s="276" t="s">
        <v>1078</v>
      </c>
      <c r="B318" s="23" t="s">
        <v>54</v>
      </c>
      <c r="C318" s="23" t="s">
        <v>217</v>
      </c>
      <c r="D318" s="139" t="str">
        <f>VLOOKUP(C318,'Seznam HS - nemaš'!$A$1:$B$96,2,FALSE)</f>
        <v>451500</v>
      </c>
      <c r="E318" s="22" t="s">
        <v>1095</v>
      </c>
      <c r="F318" s="30" t="s">
        <v>444</v>
      </c>
      <c r="G318" s="30" t="s">
        <v>599</v>
      </c>
      <c r="H318" s="28">
        <f>+IF(ISBLANK(I318),0,VLOOKUP(I318,'8Příloha_2_ceník_pravid_úklid'!$B$9:$C$30,2,0))</f>
        <v>6</v>
      </c>
      <c r="I318" s="143" t="s">
        <v>1</v>
      </c>
      <c r="J318" s="145">
        <v>2.25</v>
      </c>
      <c r="K318" s="275" t="s">
        <v>51</v>
      </c>
      <c r="L318" s="156" t="s">
        <v>65</v>
      </c>
      <c r="M318" s="22" t="s">
        <v>49</v>
      </c>
      <c r="N318" s="24">
        <f>IF((VLOOKUP(I318,'8Příloha_2_ceník_pravid_úklid'!$B$9:$I$30,8,0))=0,VLOOKUP(I318,'8Příloha_2_ceník_pravid_úklid'!$B$9:$K$30,10,0),VLOOKUP(I318,'8Příloha_2_ceník_pravid_úklid'!$B$9:$I$30,8,0))</f>
        <v>0</v>
      </c>
      <c r="O318" s="20">
        <v>2</v>
      </c>
      <c r="P318" s="20">
        <v>1</v>
      </c>
      <c r="Q318" s="20">
        <v>0</v>
      </c>
      <c r="R318" s="20">
        <v>0</v>
      </c>
      <c r="S318" s="21">
        <f>NETWORKDAYS.INTL(DATE(2018,1,1),DATE(2018,12,31),1,{"2018/1/1";"2018/3/30";"2018/4/2";"2018/5/1";"2018/5/8";"2018/7/5";"2018/7/6";"2018/09/28";"2018/11/17";"2018/12/24";"2018/12/25";"2018/12/26"})</f>
        <v>250</v>
      </c>
      <c r="T318" s="21">
        <f t="shared" si="23"/>
        <v>115</v>
      </c>
      <c r="U318" s="21">
        <f t="shared" si="24"/>
        <v>365</v>
      </c>
      <c r="V318" s="311">
        <f t="shared" si="25"/>
        <v>500</v>
      </c>
      <c r="W318" s="140">
        <f t="shared" si="26"/>
        <v>0</v>
      </c>
      <c r="X318" s="141">
        <f t="shared" si="27"/>
        <v>0</v>
      </c>
      <c r="Y318" s="141">
        <v>0</v>
      </c>
    </row>
    <row r="319" spans="1:25" ht="15" x14ac:dyDescent="0.2">
      <c r="A319" s="276" t="s">
        <v>1078</v>
      </c>
      <c r="B319" s="23" t="s">
        <v>54</v>
      </c>
      <c r="C319" s="23" t="s">
        <v>217</v>
      </c>
      <c r="D319" s="139" t="str">
        <f>VLOOKUP(C319,'Seznam HS - nemaš'!$A$1:$B$96,2,FALSE)</f>
        <v>451500</v>
      </c>
      <c r="E319" s="22" t="s">
        <v>1096</v>
      </c>
      <c r="F319" s="30" t="s">
        <v>1097</v>
      </c>
      <c r="G319" s="30"/>
      <c r="H319" s="28">
        <f>+IF(ISBLANK(I319),0,VLOOKUP(I319,'8Příloha_2_ceník_pravid_úklid'!$B$9:$C$30,2,0))</f>
        <v>4</v>
      </c>
      <c r="I319" s="143" t="s">
        <v>9</v>
      </c>
      <c r="J319" s="145">
        <v>4.3600000000000003</v>
      </c>
      <c r="K319" s="275" t="s">
        <v>50</v>
      </c>
      <c r="L319" s="156" t="s">
        <v>65</v>
      </c>
      <c r="M319" s="22" t="s">
        <v>49</v>
      </c>
      <c r="N319" s="24">
        <f>IF((VLOOKUP(I319,'8Příloha_2_ceník_pravid_úklid'!$B$9:$I$30,8,0))=0,VLOOKUP(I319,'8Příloha_2_ceník_pravid_úklid'!$B$9:$K$30,10,0),VLOOKUP(I319,'8Příloha_2_ceník_pravid_úklid'!$B$9:$I$30,8,0))</f>
        <v>0</v>
      </c>
      <c r="O319" s="20">
        <v>2</v>
      </c>
      <c r="P319" s="20">
        <v>1</v>
      </c>
      <c r="Q319" s="20">
        <v>0</v>
      </c>
      <c r="R319" s="20">
        <v>0</v>
      </c>
      <c r="S319" s="21">
        <f>NETWORKDAYS.INTL(DATE(2018,1,1),DATE(2018,12,31),1,{"2018/1/1";"2018/3/30";"2018/4/2";"2018/5/1";"2018/5/8";"2018/7/5";"2018/7/6";"2018/09/28";"2018/11/17";"2018/12/24";"2018/12/25";"2018/12/26"})</f>
        <v>250</v>
      </c>
      <c r="T319" s="21">
        <f t="shared" si="23"/>
        <v>115</v>
      </c>
      <c r="U319" s="21">
        <f t="shared" si="24"/>
        <v>365</v>
      </c>
      <c r="V319" s="311">
        <f t="shared" si="25"/>
        <v>500</v>
      </c>
      <c r="W319" s="140">
        <f t="shared" si="26"/>
        <v>0</v>
      </c>
      <c r="X319" s="141">
        <f t="shared" si="27"/>
        <v>0</v>
      </c>
      <c r="Y319" s="141">
        <v>0</v>
      </c>
    </row>
    <row r="320" spans="1:25" ht="15" x14ac:dyDescent="0.2">
      <c r="A320" s="276" t="s">
        <v>1078</v>
      </c>
      <c r="B320" s="23" t="s">
        <v>54</v>
      </c>
      <c r="C320" s="23" t="s">
        <v>217</v>
      </c>
      <c r="D320" s="139" t="str">
        <f>VLOOKUP(C320,'Seznam HS - nemaš'!$A$1:$B$96,2,FALSE)</f>
        <v>451500</v>
      </c>
      <c r="E320" s="22" t="s">
        <v>1098</v>
      </c>
      <c r="F320" s="30" t="s">
        <v>612</v>
      </c>
      <c r="G320" s="30" t="s">
        <v>1099</v>
      </c>
      <c r="H320" s="28">
        <f>+IF(ISBLANK(I320),0,VLOOKUP(I320,'8Příloha_2_ceník_pravid_úklid'!$B$9:$C$30,2,0))</f>
        <v>3</v>
      </c>
      <c r="I320" s="143" t="s">
        <v>3</v>
      </c>
      <c r="J320" s="145">
        <v>21.97</v>
      </c>
      <c r="K320" s="275" t="s">
        <v>51</v>
      </c>
      <c r="L320" s="156" t="s">
        <v>65</v>
      </c>
      <c r="M320" s="22" t="s">
        <v>49</v>
      </c>
      <c r="N320" s="24">
        <f>IF((VLOOKUP(I320,'8Příloha_2_ceník_pravid_úklid'!$B$9:$I$30,8,0))=0,VLOOKUP(I320,'8Příloha_2_ceník_pravid_úklid'!$B$9:$K$30,10,0),VLOOKUP(I320,'8Příloha_2_ceník_pravid_úklid'!$B$9:$I$30,8,0))</f>
        <v>0</v>
      </c>
      <c r="O320" s="20">
        <v>2</v>
      </c>
      <c r="P320" s="20">
        <v>1</v>
      </c>
      <c r="Q320" s="20">
        <v>0</v>
      </c>
      <c r="R320" s="20">
        <v>0</v>
      </c>
      <c r="S320" s="21">
        <f>NETWORKDAYS.INTL(DATE(2018,1,1),DATE(2018,12,31),1,{"2018/1/1";"2018/3/30";"2018/4/2";"2018/5/1";"2018/5/8";"2018/7/5";"2018/7/6";"2018/09/28";"2018/11/17";"2018/12/24";"2018/12/25";"2018/12/26"})</f>
        <v>250</v>
      </c>
      <c r="T320" s="21">
        <f t="shared" si="23"/>
        <v>115</v>
      </c>
      <c r="U320" s="21">
        <f t="shared" si="24"/>
        <v>365</v>
      </c>
      <c r="V320" s="311">
        <f t="shared" si="25"/>
        <v>500</v>
      </c>
      <c r="W320" s="140">
        <f t="shared" si="26"/>
        <v>0</v>
      </c>
      <c r="X320" s="141">
        <f t="shared" si="27"/>
        <v>0</v>
      </c>
      <c r="Y320" s="141">
        <v>0</v>
      </c>
    </row>
    <row r="321" spans="1:25" ht="15" x14ac:dyDescent="0.2">
      <c r="A321" s="276" t="s">
        <v>1078</v>
      </c>
      <c r="B321" s="23" t="s">
        <v>54</v>
      </c>
      <c r="C321" s="23" t="s">
        <v>217</v>
      </c>
      <c r="D321" s="139" t="str">
        <f>VLOOKUP(C321,'Seznam HS - nemaš'!$A$1:$B$96,2,FALSE)</f>
        <v>451500</v>
      </c>
      <c r="E321" s="22" t="s">
        <v>1100</v>
      </c>
      <c r="F321" s="30" t="s">
        <v>1101</v>
      </c>
      <c r="G321" s="30" t="s">
        <v>1099</v>
      </c>
      <c r="H321" s="28">
        <f>+IF(ISBLANK(I321),0,VLOOKUP(I321,'8Příloha_2_ceník_pravid_úklid'!$B$9:$C$30,2,0))</f>
        <v>3</v>
      </c>
      <c r="I321" s="143" t="s">
        <v>3</v>
      </c>
      <c r="J321" s="145">
        <v>2.2400000000000002</v>
      </c>
      <c r="K321" s="275" t="s">
        <v>51</v>
      </c>
      <c r="L321" s="156" t="s">
        <v>65</v>
      </c>
      <c r="M321" s="22" t="s">
        <v>49</v>
      </c>
      <c r="N321" s="24">
        <f>IF((VLOOKUP(I321,'8Příloha_2_ceník_pravid_úklid'!$B$9:$I$30,8,0))=0,VLOOKUP(I321,'8Příloha_2_ceník_pravid_úklid'!$B$9:$K$30,10,0),VLOOKUP(I321,'8Příloha_2_ceník_pravid_úklid'!$B$9:$I$30,8,0))</f>
        <v>0</v>
      </c>
      <c r="O321" s="20">
        <v>2</v>
      </c>
      <c r="P321" s="20">
        <v>1</v>
      </c>
      <c r="Q321" s="20">
        <v>0</v>
      </c>
      <c r="R321" s="20">
        <v>0</v>
      </c>
      <c r="S321" s="21">
        <f>NETWORKDAYS.INTL(DATE(2018,1,1),DATE(2018,12,31),1,{"2018/1/1";"2018/3/30";"2018/4/2";"2018/5/1";"2018/5/8";"2018/7/5";"2018/7/6";"2018/09/28";"2018/11/17";"2018/12/24";"2018/12/25";"2018/12/26"})</f>
        <v>250</v>
      </c>
      <c r="T321" s="21">
        <f t="shared" si="23"/>
        <v>115</v>
      </c>
      <c r="U321" s="21">
        <f t="shared" si="24"/>
        <v>365</v>
      </c>
      <c r="V321" s="311">
        <f t="shared" si="25"/>
        <v>500</v>
      </c>
      <c r="W321" s="140">
        <f t="shared" si="26"/>
        <v>0</v>
      </c>
      <c r="X321" s="141">
        <f t="shared" si="27"/>
        <v>0</v>
      </c>
      <c r="Y321" s="141">
        <v>0</v>
      </c>
    </row>
    <row r="322" spans="1:25" ht="15" x14ac:dyDescent="0.2">
      <c r="A322" s="276" t="s">
        <v>1078</v>
      </c>
      <c r="B322" s="23" t="s">
        <v>54</v>
      </c>
      <c r="C322" s="23" t="s">
        <v>217</v>
      </c>
      <c r="D322" s="139" t="str">
        <f>VLOOKUP(C322,'Seznam HS - nemaš'!$A$1:$B$96,2,FALSE)</f>
        <v>451500</v>
      </c>
      <c r="E322" s="22" t="s">
        <v>1102</v>
      </c>
      <c r="F322" s="30" t="s">
        <v>1101</v>
      </c>
      <c r="G322" s="30" t="s">
        <v>1099</v>
      </c>
      <c r="H322" s="28">
        <f>+IF(ISBLANK(I322),0,VLOOKUP(I322,'8Příloha_2_ceník_pravid_úklid'!$B$9:$C$30,2,0))</f>
        <v>3</v>
      </c>
      <c r="I322" s="143" t="s">
        <v>3</v>
      </c>
      <c r="J322" s="145">
        <v>1.38</v>
      </c>
      <c r="K322" s="275" t="s">
        <v>51</v>
      </c>
      <c r="L322" s="156" t="s">
        <v>65</v>
      </c>
      <c r="M322" s="22" t="s">
        <v>49</v>
      </c>
      <c r="N322" s="24">
        <f>IF((VLOOKUP(I322,'8Příloha_2_ceník_pravid_úklid'!$B$9:$I$30,8,0))=0,VLOOKUP(I322,'8Příloha_2_ceník_pravid_úklid'!$B$9:$K$30,10,0),VLOOKUP(I322,'8Příloha_2_ceník_pravid_úklid'!$B$9:$I$30,8,0))</f>
        <v>0</v>
      </c>
      <c r="O322" s="20">
        <v>2</v>
      </c>
      <c r="P322" s="20">
        <v>1</v>
      </c>
      <c r="Q322" s="20">
        <v>0</v>
      </c>
      <c r="R322" s="20">
        <v>0</v>
      </c>
      <c r="S322" s="21">
        <f>NETWORKDAYS.INTL(DATE(2018,1,1),DATE(2018,12,31),1,{"2018/1/1";"2018/3/30";"2018/4/2";"2018/5/1";"2018/5/8";"2018/7/5";"2018/7/6";"2018/09/28";"2018/11/17";"2018/12/24";"2018/12/25";"2018/12/26"})</f>
        <v>250</v>
      </c>
      <c r="T322" s="21">
        <f t="shared" si="23"/>
        <v>115</v>
      </c>
      <c r="U322" s="21">
        <f t="shared" si="24"/>
        <v>365</v>
      </c>
      <c r="V322" s="311">
        <f t="shared" si="25"/>
        <v>500</v>
      </c>
      <c r="W322" s="140">
        <f t="shared" si="26"/>
        <v>0</v>
      </c>
      <c r="X322" s="141">
        <f t="shared" si="27"/>
        <v>0</v>
      </c>
      <c r="Y322" s="141">
        <v>0</v>
      </c>
    </row>
    <row r="323" spans="1:25" ht="15" x14ac:dyDescent="0.2">
      <c r="A323" s="276" t="s">
        <v>1078</v>
      </c>
      <c r="B323" s="23" t="s">
        <v>54</v>
      </c>
      <c r="C323" s="23" t="s">
        <v>217</v>
      </c>
      <c r="D323" s="139" t="str">
        <f>VLOOKUP(C323,'Seznam HS - nemaš'!$A$1:$B$96,2,FALSE)</f>
        <v>451500</v>
      </c>
      <c r="E323" s="22" t="s">
        <v>1103</v>
      </c>
      <c r="F323" s="30" t="s">
        <v>1084</v>
      </c>
      <c r="G323" s="30"/>
      <c r="H323" s="28">
        <f>+IF(ISBLANK(I323),0,VLOOKUP(I323,'8Příloha_2_ceník_pravid_úklid'!$B$9:$C$30,2,0))</f>
        <v>4</v>
      </c>
      <c r="I323" s="143" t="s">
        <v>9</v>
      </c>
      <c r="J323" s="145">
        <v>10.44</v>
      </c>
      <c r="K323" s="275" t="s">
        <v>51</v>
      </c>
      <c r="L323" s="156" t="s">
        <v>65</v>
      </c>
      <c r="M323" s="22" t="s">
        <v>49</v>
      </c>
      <c r="N323" s="24">
        <f>IF((VLOOKUP(I323,'8Příloha_2_ceník_pravid_úklid'!$B$9:$I$30,8,0))=0,VLOOKUP(I323,'8Příloha_2_ceník_pravid_úklid'!$B$9:$K$30,10,0),VLOOKUP(I323,'8Příloha_2_ceník_pravid_úklid'!$B$9:$I$30,8,0))</f>
        <v>0</v>
      </c>
      <c r="O323" s="20">
        <v>2</v>
      </c>
      <c r="P323" s="20">
        <v>1</v>
      </c>
      <c r="Q323" s="20">
        <v>0</v>
      </c>
      <c r="R323" s="20">
        <v>0</v>
      </c>
      <c r="S323" s="21">
        <f>NETWORKDAYS.INTL(DATE(2018,1,1),DATE(2018,12,31),1,{"2018/1/1";"2018/3/30";"2018/4/2";"2018/5/1";"2018/5/8";"2018/7/5";"2018/7/6";"2018/09/28";"2018/11/17";"2018/12/24";"2018/12/25";"2018/12/26"})</f>
        <v>250</v>
      </c>
      <c r="T323" s="21">
        <f t="shared" si="23"/>
        <v>115</v>
      </c>
      <c r="U323" s="21">
        <f t="shared" si="24"/>
        <v>365</v>
      </c>
      <c r="V323" s="311">
        <f t="shared" si="25"/>
        <v>500</v>
      </c>
      <c r="W323" s="140">
        <f t="shared" si="26"/>
        <v>0</v>
      </c>
      <c r="X323" s="141">
        <f t="shared" si="27"/>
        <v>0</v>
      </c>
      <c r="Y323" s="141">
        <v>0</v>
      </c>
    </row>
    <row r="324" spans="1:25" ht="15" x14ac:dyDescent="0.2">
      <c r="A324" s="276" t="s">
        <v>1078</v>
      </c>
      <c r="B324" s="23" t="s">
        <v>54</v>
      </c>
      <c r="C324" s="23" t="s">
        <v>217</v>
      </c>
      <c r="D324" s="139" t="str">
        <f>VLOOKUP(C324,'Seznam HS - nemaš'!$A$1:$B$96,2,FALSE)</f>
        <v>451500</v>
      </c>
      <c r="E324" s="22" t="s">
        <v>1104</v>
      </c>
      <c r="F324" s="30" t="s">
        <v>1105</v>
      </c>
      <c r="G324" s="30"/>
      <c r="H324" s="28">
        <f>+IF(ISBLANK(I324),0,VLOOKUP(I324,'8Příloha_2_ceník_pravid_úklid'!$B$9:$C$30,2,0))</f>
        <v>4</v>
      </c>
      <c r="I324" s="143" t="s">
        <v>9</v>
      </c>
      <c r="J324" s="145">
        <v>9.6999999999999993</v>
      </c>
      <c r="K324" s="275" t="s">
        <v>51</v>
      </c>
      <c r="L324" s="156" t="s">
        <v>65</v>
      </c>
      <c r="M324" s="22" t="s">
        <v>49</v>
      </c>
      <c r="N324" s="24">
        <f>IF((VLOOKUP(I324,'8Příloha_2_ceník_pravid_úklid'!$B$9:$I$30,8,0))=0,VLOOKUP(I324,'8Příloha_2_ceník_pravid_úklid'!$B$9:$K$30,10,0),VLOOKUP(I324,'8Příloha_2_ceník_pravid_úklid'!$B$9:$I$30,8,0))</f>
        <v>0</v>
      </c>
      <c r="O324" s="20">
        <v>2</v>
      </c>
      <c r="P324" s="20">
        <v>1</v>
      </c>
      <c r="Q324" s="20">
        <v>0</v>
      </c>
      <c r="R324" s="20">
        <v>0</v>
      </c>
      <c r="S324" s="21">
        <f>NETWORKDAYS.INTL(DATE(2018,1,1),DATE(2018,12,31),1,{"2018/1/1";"2018/3/30";"2018/4/2";"2018/5/1";"2018/5/8";"2018/7/5";"2018/7/6";"2018/09/28";"2018/11/17";"2018/12/24";"2018/12/25";"2018/12/26"})</f>
        <v>250</v>
      </c>
      <c r="T324" s="21">
        <f t="shared" si="23"/>
        <v>115</v>
      </c>
      <c r="U324" s="21">
        <f t="shared" si="24"/>
        <v>365</v>
      </c>
      <c r="V324" s="311">
        <f t="shared" si="25"/>
        <v>500</v>
      </c>
      <c r="W324" s="140">
        <f t="shared" si="26"/>
        <v>0</v>
      </c>
      <c r="X324" s="141">
        <f t="shared" si="27"/>
        <v>0</v>
      </c>
      <c r="Y324" s="141">
        <v>0</v>
      </c>
    </row>
    <row r="325" spans="1:25" ht="15" x14ac:dyDescent="0.2">
      <c r="A325" s="276" t="s">
        <v>1078</v>
      </c>
      <c r="B325" s="23" t="s">
        <v>54</v>
      </c>
      <c r="C325" s="23" t="s">
        <v>217</v>
      </c>
      <c r="D325" s="139" t="str">
        <f>VLOOKUP(C325,'Seznam HS - nemaš'!$A$1:$B$96,2,FALSE)</f>
        <v>451500</v>
      </c>
      <c r="E325" s="22" t="s">
        <v>1106</v>
      </c>
      <c r="F325" s="30" t="s">
        <v>612</v>
      </c>
      <c r="G325" s="30" t="s">
        <v>1099</v>
      </c>
      <c r="H325" s="28">
        <f>+IF(ISBLANK(I325),0,VLOOKUP(I325,'8Příloha_2_ceník_pravid_úklid'!$B$9:$C$30,2,0))</f>
        <v>3</v>
      </c>
      <c r="I325" s="143" t="s">
        <v>3</v>
      </c>
      <c r="J325" s="145">
        <v>27.15</v>
      </c>
      <c r="K325" s="275" t="s">
        <v>51</v>
      </c>
      <c r="L325" s="156" t="s">
        <v>65</v>
      </c>
      <c r="M325" s="22" t="s">
        <v>49</v>
      </c>
      <c r="N325" s="24">
        <f>IF((VLOOKUP(I325,'8Příloha_2_ceník_pravid_úklid'!$B$9:$I$30,8,0))=0,VLOOKUP(I325,'8Příloha_2_ceník_pravid_úklid'!$B$9:$K$30,10,0),VLOOKUP(I325,'8Příloha_2_ceník_pravid_úklid'!$B$9:$I$30,8,0))</f>
        <v>0</v>
      </c>
      <c r="O325" s="20">
        <v>2</v>
      </c>
      <c r="P325" s="20">
        <v>1</v>
      </c>
      <c r="Q325" s="20">
        <v>0</v>
      </c>
      <c r="R325" s="20">
        <v>0</v>
      </c>
      <c r="S325" s="21">
        <f>NETWORKDAYS.INTL(DATE(2018,1,1),DATE(2018,12,31),1,{"2018/1/1";"2018/3/30";"2018/4/2";"2018/5/1";"2018/5/8";"2018/7/5";"2018/7/6";"2018/09/28";"2018/11/17";"2018/12/24";"2018/12/25";"2018/12/26"})</f>
        <v>250</v>
      </c>
      <c r="T325" s="21">
        <f t="shared" si="23"/>
        <v>115</v>
      </c>
      <c r="U325" s="21">
        <f t="shared" si="24"/>
        <v>365</v>
      </c>
      <c r="V325" s="311">
        <f t="shared" si="25"/>
        <v>500</v>
      </c>
      <c r="W325" s="140">
        <f t="shared" si="26"/>
        <v>0</v>
      </c>
      <c r="X325" s="141">
        <f t="shared" si="27"/>
        <v>0</v>
      </c>
      <c r="Y325" s="141">
        <v>0</v>
      </c>
    </row>
    <row r="326" spans="1:25" ht="15" x14ac:dyDescent="0.2">
      <c r="A326" s="276" t="s">
        <v>1078</v>
      </c>
      <c r="B326" s="23" t="s">
        <v>54</v>
      </c>
      <c r="C326" s="23" t="s">
        <v>217</v>
      </c>
      <c r="D326" s="139" t="str">
        <f>VLOOKUP(C326,'Seznam HS - nemaš'!$A$1:$B$96,2,FALSE)</f>
        <v>451500</v>
      </c>
      <c r="E326" s="22" t="s">
        <v>1107</v>
      </c>
      <c r="F326" s="30" t="s">
        <v>1108</v>
      </c>
      <c r="G326" s="30" t="s">
        <v>1109</v>
      </c>
      <c r="H326" s="28">
        <f>+IF(ISBLANK(I326),0,VLOOKUP(I326,'8Příloha_2_ceník_pravid_úklid'!$B$9:$C$30,2,0))</f>
        <v>6</v>
      </c>
      <c r="I326" s="143" t="s">
        <v>1</v>
      </c>
      <c r="J326" s="145">
        <v>29.57</v>
      </c>
      <c r="K326" s="275" t="s">
        <v>51</v>
      </c>
      <c r="L326" s="156" t="s">
        <v>65</v>
      </c>
      <c r="M326" s="22" t="s">
        <v>49</v>
      </c>
      <c r="N326" s="24">
        <f>IF((VLOOKUP(I326,'8Příloha_2_ceník_pravid_úklid'!$B$9:$I$30,8,0))=0,VLOOKUP(I326,'8Příloha_2_ceník_pravid_úklid'!$B$9:$K$30,10,0),VLOOKUP(I326,'8Příloha_2_ceník_pravid_úklid'!$B$9:$I$30,8,0))</f>
        <v>0</v>
      </c>
      <c r="O326" s="20">
        <v>2</v>
      </c>
      <c r="P326" s="20">
        <v>1</v>
      </c>
      <c r="Q326" s="20">
        <v>0</v>
      </c>
      <c r="R326" s="20">
        <v>0</v>
      </c>
      <c r="S326" s="21">
        <f>NETWORKDAYS.INTL(DATE(2018,1,1),DATE(2018,12,31),1,{"2018/1/1";"2018/3/30";"2018/4/2";"2018/5/1";"2018/5/8";"2018/7/5";"2018/7/6";"2018/09/28";"2018/11/17";"2018/12/24";"2018/12/25";"2018/12/26"})</f>
        <v>250</v>
      </c>
      <c r="T326" s="21">
        <f t="shared" ref="T326:T389" si="29">U326-S326</f>
        <v>115</v>
      </c>
      <c r="U326" s="21">
        <f t="shared" ref="U326:U389" si="30">_xlfn.DAYS("1.1.2019","1.1.2018")</f>
        <v>365</v>
      </c>
      <c r="V326" s="311">
        <f t="shared" ref="V326:V389" si="31">ROUND(O326*P326*S326+Q326*R326*T326,2)</f>
        <v>500</v>
      </c>
      <c r="W326" s="140">
        <f t="shared" ref="W326:W389" si="32">ROUND(IF(N326="neoceňuje se",+J326*0*V326,J326*N326*V326),2)</f>
        <v>0</v>
      </c>
      <c r="X326" s="141">
        <f t="shared" ref="X326:Y389" si="33">ROUND(W326*1.21,2)</f>
        <v>0</v>
      </c>
      <c r="Y326" s="141">
        <v>0</v>
      </c>
    </row>
    <row r="327" spans="1:25" ht="15" x14ac:dyDescent="0.2">
      <c r="A327" s="276" t="s">
        <v>1078</v>
      </c>
      <c r="B327" s="23" t="s">
        <v>54</v>
      </c>
      <c r="C327" s="23" t="s">
        <v>217</v>
      </c>
      <c r="D327" s="139" t="str">
        <f>VLOOKUP(C327,'Seznam HS - nemaš'!$A$1:$B$96,2,FALSE)</f>
        <v>451500</v>
      </c>
      <c r="E327" s="22" t="s">
        <v>1110</v>
      </c>
      <c r="F327" s="30" t="s">
        <v>437</v>
      </c>
      <c r="G327" s="30" t="s">
        <v>1111</v>
      </c>
      <c r="H327" s="28">
        <f>+IF(ISBLANK(I327),0,VLOOKUP(I327,'8Příloha_2_ceník_pravid_úklid'!$B$9:$C$30,2,0))</f>
        <v>7</v>
      </c>
      <c r="I327" s="143" t="s">
        <v>14</v>
      </c>
      <c r="J327" s="145">
        <v>4.05</v>
      </c>
      <c r="K327" s="275" t="s">
        <v>50</v>
      </c>
      <c r="L327" s="156" t="s">
        <v>65</v>
      </c>
      <c r="M327" s="22" t="s">
        <v>49</v>
      </c>
      <c r="N327" s="24">
        <f>IF((VLOOKUP(I327,'8Příloha_2_ceník_pravid_úklid'!$B$9:$I$30,8,0))=0,VLOOKUP(I327,'8Příloha_2_ceník_pravid_úklid'!$B$9:$K$30,10,0),VLOOKUP(I327,'8Příloha_2_ceník_pravid_úklid'!$B$9:$I$30,8,0))</f>
        <v>0</v>
      </c>
      <c r="O327" s="20">
        <v>2</v>
      </c>
      <c r="P327" s="20">
        <v>1</v>
      </c>
      <c r="Q327" s="20">
        <v>0</v>
      </c>
      <c r="R327" s="20">
        <v>0</v>
      </c>
      <c r="S327" s="21">
        <f>NETWORKDAYS.INTL(DATE(2018,1,1),DATE(2018,12,31),1,{"2018/1/1";"2018/3/30";"2018/4/2";"2018/5/1";"2018/5/8";"2018/7/5";"2018/7/6";"2018/09/28";"2018/11/17";"2018/12/24";"2018/12/25";"2018/12/26"})</f>
        <v>250</v>
      </c>
      <c r="T327" s="21">
        <f t="shared" si="29"/>
        <v>115</v>
      </c>
      <c r="U327" s="21">
        <f t="shared" si="30"/>
        <v>365</v>
      </c>
      <c r="V327" s="311">
        <f t="shared" si="31"/>
        <v>500</v>
      </c>
      <c r="W327" s="140">
        <f t="shared" si="32"/>
        <v>0</v>
      </c>
      <c r="X327" s="141">
        <f t="shared" si="33"/>
        <v>0</v>
      </c>
      <c r="Y327" s="141">
        <v>0</v>
      </c>
    </row>
    <row r="328" spans="1:25" ht="15" x14ac:dyDescent="0.2">
      <c r="A328" s="235" t="s">
        <v>1078</v>
      </c>
      <c r="B328" s="236" t="s">
        <v>54</v>
      </c>
      <c r="C328" s="236" t="s">
        <v>217</v>
      </c>
      <c r="D328" s="535" t="str">
        <f>VLOOKUP(C328,'Seznam HS - nemaš'!$A$1:$B$96,2,FALSE)</f>
        <v>451500</v>
      </c>
      <c r="E328" s="237" t="s">
        <v>1112</v>
      </c>
      <c r="F328" s="303" t="s">
        <v>554</v>
      </c>
      <c r="G328" s="303"/>
      <c r="H328" s="224">
        <f>+IF(ISBLANK(I328),0,VLOOKUP(I328,'8Příloha_2_ceník_pravid_úklid'!$B$9:$C$30,2,0))</f>
        <v>0</v>
      </c>
      <c r="I328" s="273"/>
      <c r="J328" s="241">
        <v>1.8</v>
      </c>
      <c r="K328" s="240" t="s">
        <v>50</v>
      </c>
      <c r="L328" s="242" t="s">
        <v>66</v>
      </c>
      <c r="M328" s="237" t="s">
        <v>49</v>
      </c>
      <c r="N328" s="229" t="s">
        <v>501</v>
      </c>
      <c r="O328" s="230">
        <v>0</v>
      </c>
      <c r="P328" s="230">
        <v>0</v>
      </c>
      <c r="Q328" s="230">
        <v>0</v>
      </c>
      <c r="R328" s="230">
        <v>0</v>
      </c>
      <c r="S328" s="231">
        <f>NETWORKDAYS.INTL(DATE(2018,1,1),DATE(2018,12,31),1,{"2018/1/1";"2018/3/30";"2018/4/2";"2018/5/1";"2018/5/8";"2018/7/5";"2018/7/6";"2018/09/28";"2018/11/17";"2018/12/24";"2018/12/25";"2018/12/26"})</f>
        <v>250</v>
      </c>
      <c r="T328" s="231">
        <f t="shared" si="29"/>
        <v>115</v>
      </c>
      <c r="U328" s="231">
        <f t="shared" si="30"/>
        <v>365</v>
      </c>
      <c r="V328" s="312">
        <f t="shared" si="31"/>
        <v>0</v>
      </c>
      <c r="W328" s="233">
        <f t="shared" si="32"/>
        <v>0</v>
      </c>
      <c r="X328" s="234">
        <f t="shared" si="33"/>
        <v>0</v>
      </c>
      <c r="Y328" s="234">
        <f t="shared" si="33"/>
        <v>0</v>
      </c>
    </row>
    <row r="329" spans="1:25" ht="15" x14ac:dyDescent="0.2">
      <c r="A329" s="276" t="s">
        <v>1078</v>
      </c>
      <c r="B329" s="23" t="s">
        <v>54</v>
      </c>
      <c r="C329" s="23" t="s">
        <v>217</v>
      </c>
      <c r="D329" s="139" t="str">
        <f>VLOOKUP(C329,'Seznam HS - nemaš'!$A$1:$B$96,2,FALSE)</f>
        <v>451500</v>
      </c>
      <c r="E329" s="22" t="s">
        <v>1113</v>
      </c>
      <c r="F329" s="30" t="s">
        <v>1101</v>
      </c>
      <c r="G329" s="30" t="s">
        <v>1099</v>
      </c>
      <c r="H329" s="28">
        <f>+IF(ISBLANK(I329),0,VLOOKUP(I329,'8Příloha_2_ceník_pravid_úklid'!$B$9:$C$30,2,0))</f>
        <v>3</v>
      </c>
      <c r="I329" s="143" t="s">
        <v>3</v>
      </c>
      <c r="J329" s="145">
        <v>1.44</v>
      </c>
      <c r="K329" s="275" t="s">
        <v>51</v>
      </c>
      <c r="L329" s="156" t="s">
        <v>65</v>
      </c>
      <c r="M329" s="22" t="s">
        <v>49</v>
      </c>
      <c r="N329" s="24">
        <f>IF((VLOOKUP(I329,'8Příloha_2_ceník_pravid_úklid'!$B$9:$I$30,8,0))=0,VLOOKUP(I329,'8Příloha_2_ceník_pravid_úklid'!$B$9:$K$30,10,0),VLOOKUP(I329,'8Příloha_2_ceník_pravid_úklid'!$B$9:$I$30,8,0))</f>
        <v>0</v>
      </c>
      <c r="O329" s="20">
        <v>2</v>
      </c>
      <c r="P329" s="20">
        <v>1</v>
      </c>
      <c r="Q329" s="20">
        <v>0</v>
      </c>
      <c r="R329" s="20">
        <v>0</v>
      </c>
      <c r="S329" s="21">
        <f>NETWORKDAYS.INTL(DATE(2018,1,1),DATE(2018,12,31),1,{"2018/1/1";"2018/3/30";"2018/4/2";"2018/5/1";"2018/5/8";"2018/7/5";"2018/7/6";"2018/09/28";"2018/11/17";"2018/12/24";"2018/12/25";"2018/12/26"})</f>
        <v>250</v>
      </c>
      <c r="T329" s="21">
        <f t="shared" si="29"/>
        <v>115</v>
      </c>
      <c r="U329" s="21">
        <f t="shared" si="30"/>
        <v>365</v>
      </c>
      <c r="V329" s="311">
        <f t="shared" si="31"/>
        <v>500</v>
      </c>
      <c r="W329" s="140">
        <f t="shared" si="32"/>
        <v>0</v>
      </c>
      <c r="X329" s="141">
        <f t="shared" si="33"/>
        <v>0</v>
      </c>
      <c r="Y329" s="141">
        <v>0</v>
      </c>
    </row>
    <row r="330" spans="1:25" ht="15" x14ac:dyDescent="0.2">
      <c r="A330" s="276" t="s">
        <v>1078</v>
      </c>
      <c r="B330" s="23" t="s">
        <v>54</v>
      </c>
      <c r="C330" s="23" t="s">
        <v>217</v>
      </c>
      <c r="D330" s="139" t="str">
        <f>VLOOKUP(C330,'Seznam HS - nemaš'!$A$1:$B$96,2,FALSE)</f>
        <v>451500</v>
      </c>
      <c r="E330" s="22" t="s">
        <v>1114</v>
      </c>
      <c r="F330" s="30" t="s">
        <v>1101</v>
      </c>
      <c r="G330" s="30" t="s">
        <v>1099</v>
      </c>
      <c r="H330" s="28">
        <f>+IF(ISBLANK(I330),0,VLOOKUP(I330,'8Příloha_2_ceník_pravid_úklid'!$B$9:$C$30,2,0))</f>
        <v>3</v>
      </c>
      <c r="I330" s="143" t="s">
        <v>3</v>
      </c>
      <c r="J330" s="145">
        <v>1.44</v>
      </c>
      <c r="K330" s="275" t="s">
        <v>51</v>
      </c>
      <c r="L330" s="156" t="s">
        <v>65</v>
      </c>
      <c r="M330" s="22" t="s">
        <v>49</v>
      </c>
      <c r="N330" s="24">
        <f>IF((VLOOKUP(I330,'8Příloha_2_ceník_pravid_úklid'!$B$9:$I$30,8,0))=0,VLOOKUP(I330,'8Příloha_2_ceník_pravid_úklid'!$B$9:$K$30,10,0),VLOOKUP(I330,'8Příloha_2_ceník_pravid_úklid'!$B$9:$I$30,8,0))</f>
        <v>0</v>
      </c>
      <c r="O330" s="20">
        <v>2</v>
      </c>
      <c r="P330" s="20">
        <v>1</v>
      </c>
      <c r="Q330" s="20">
        <v>0</v>
      </c>
      <c r="R330" s="20">
        <v>0</v>
      </c>
      <c r="S330" s="21">
        <f>NETWORKDAYS.INTL(DATE(2018,1,1),DATE(2018,12,31),1,{"2018/1/1";"2018/3/30";"2018/4/2";"2018/5/1";"2018/5/8";"2018/7/5";"2018/7/6";"2018/09/28";"2018/11/17";"2018/12/24";"2018/12/25";"2018/12/26"})</f>
        <v>250</v>
      </c>
      <c r="T330" s="21">
        <f t="shared" si="29"/>
        <v>115</v>
      </c>
      <c r="U330" s="21">
        <f t="shared" si="30"/>
        <v>365</v>
      </c>
      <c r="V330" s="311">
        <f t="shared" si="31"/>
        <v>500</v>
      </c>
      <c r="W330" s="140">
        <f t="shared" si="32"/>
        <v>0</v>
      </c>
      <c r="X330" s="141">
        <f t="shared" si="33"/>
        <v>0</v>
      </c>
      <c r="Y330" s="141">
        <v>0</v>
      </c>
    </row>
    <row r="331" spans="1:25" ht="15" x14ac:dyDescent="0.2">
      <c r="A331" s="276" t="s">
        <v>1078</v>
      </c>
      <c r="B331" s="23" t="s">
        <v>54</v>
      </c>
      <c r="C331" s="23" t="s">
        <v>217</v>
      </c>
      <c r="D331" s="139" t="str">
        <f>VLOOKUP(C331,'Seznam HS - nemaš'!$A$1:$B$96,2,FALSE)</f>
        <v>451500</v>
      </c>
      <c r="E331" s="22" t="s">
        <v>1115</v>
      </c>
      <c r="F331" s="30" t="s">
        <v>1101</v>
      </c>
      <c r="G331" s="30"/>
      <c r="H331" s="28">
        <f>+IF(ISBLANK(I331),0,VLOOKUP(I331,'8Příloha_2_ceník_pravid_úklid'!$B$9:$C$30,2,0))</f>
        <v>17</v>
      </c>
      <c r="I331" s="143" t="s">
        <v>13</v>
      </c>
      <c r="J331" s="145">
        <v>1.6</v>
      </c>
      <c r="K331" s="275" t="s">
        <v>51</v>
      </c>
      <c r="L331" s="156" t="s">
        <v>65</v>
      </c>
      <c r="M331" s="22" t="s">
        <v>49</v>
      </c>
      <c r="N331" s="24">
        <f>IF((VLOOKUP(I331,'8Příloha_2_ceník_pravid_úklid'!$B$9:$I$30,8,0))=0,VLOOKUP(I331,'8Příloha_2_ceník_pravid_úklid'!$B$9:$K$30,10,0),VLOOKUP(I331,'8Příloha_2_ceník_pravid_úklid'!$B$9:$I$30,8,0))</f>
        <v>0</v>
      </c>
      <c r="O331" s="20">
        <v>2</v>
      </c>
      <c r="P331" s="20">
        <v>1</v>
      </c>
      <c r="Q331" s="20">
        <v>0</v>
      </c>
      <c r="R331" s="20">
        <v>0</v>
      </c>
      <c r="S331" s="21">
        <f>NETWORKDAYS.INTL(DATE(2018,1,1),DATE(2018,12,31),1,{"2018/1/1";"2018/3/30";"2018/4/2";"2018/5/1";"2018/5/8";"2018/7/5";"2018/7/6";"2018/09/28";"2018/11/17";"2018/12/24";"2018/12/25";"2018/12/26"})</f>
        <v>250</v>
      </c>
      <c r="T331" s="21">
        <f t="shared" si="29"/>
        <v>115</v>
      </c>
      <c r="U331" s="21">
        <f t="shared" si="30"/>
        <v>365</v>
      </c>
      <c r="V331" s="311">
        <f t="shared" si="31"/>
        <v>500</v>
      </c>
      <c r="W331" s="140">
        <f t="shared" si="32"/>
        <v>0</v>
      </c>
      <c r="X331" s="141">
        <f t="shared" si="33"/>
        <v>0</v>
      </c>
      <c r="Y331" s="141">
        <v>0</v>
      </c>
    </row>
    <row r="332" spans="1:25" ht="15" x14ac:dyDescent="0.2">
      <c r="A332" s="276" t="s">
        <v>1078</v>
      </c>
      <c r="B332" s="23" t="s">
        <v>54</v>
      </c>
      <c r="C332" s="23" t="s">
        <v>217</v>
      </c>
      <c r="D332" s="139" t="str">
        <f>VLOOKUP(C332,'Seznam HS - nemaš'!$A$1:$B$96,2,FALSE)</f>
        <v>451500</v>
      </c>
      <c r="E332" s="22" t="s">
        <v>1116</v>
      </c>
      <c r="F332" s="30" t="s">
        <v>626</v>
      </c>
      <c r="G332" s="30"/>
      <c r="H332" s="28">
        <f>+IF(ISBLANK(I332),0,VLOOKUP(I332,'8Příloha_2_ceník_pravid_úklid'!$B$9:$C$30,2,0))</f>
        <v>4</v>
      </c>
      <c r="I332" s="143" t="s">
        <v>9</v>
      </c>
      <c r="J332" s="145">
        <v>21.87</v>
      </c>
      <c r="K332" s="275" t="s">
        <v>51</v>
      </c>
      <c r="L332" s="156" t="s">
        <v>1082</v>
      </c>
      <c r="M332" s="22" t="s">
        <v>49</v>
      </c>
      <c r="N332" s="24">
        <f>IF((VLOOKUP(I332,'8Příloha_2_ceník_pravid_úklid'!$B$9:$I$30,8,0))=0,VLOOKUP(I332,'8Příloha_2_ceník_pravid_úklid'!$B$9:$K$30,10,0),VLOOKUP(I332,'8Příloha_2_ceník_pravid_úklid'!$B$9:$I$30,8,0))</f>
        <v>0</v>
      </c>
      <c r="O332" s="20">
        <v>1</v>
      </c>
      <c r="P332" s="20">
        <v>1</v>
      </c>
      <c r="Q332" s="20">
        <v>0</v>
      </c>
      <c r="R332" s="20">
        <v>0</v>
      </c>
      <c r="S332" s="21">
        <f>NETWORKDAYS.INTL(DATE(2018,1,1),DATE(2018,12,31),1,{"2018/1/1";"2018/3/30";"2018/4/2";"2018/5/1";"2018/5/8";"2018/7/5";"2018/7/6";"2018/09/28";"2018/11/17";"2018/12/24";"2018/12/25";"2018/12/26"})</f>
        <v>250</v>
      </c>
      <c r="T332" s="21">
        <f t="shared" si="29"/>
        <v>115</v>
      </c>
      <c r="U332" s="21">
        <f t="shared" si="30"/>
        <v>365</v>
      </c>
      <c r="V332" s="311">
        <f t="shared" si="31"/>
        <v>250</v>
      </c>
      <c r="W332" s="140">
        <f t="shared" si="32"/>
        <v>0</v>
      </c>
      <c r="X332" s="141">
        <f t="shared" si="33"/>
        <v>0</v>
      </c>
      <c r="Y332" s="141">
        <v>0</v>
      </c>
    </row>
    <row r="333" spans="1:25" ht="15" x14ac:dyDescent="0.2">
      <c r="A333" s="276" t="s">
        <v>1078</v>
      </c>
      <c r="B333" s="23" t="s">
        <v>54</v>
      </c>
      <c r="C333" s="23" t="s">
        <v>217</v>
      </c>
      <c r="D333" s="139" t="str">
        <f>VLOOKUP(C333,'Seznam HS - nemaš'!$A$1:$B$96,2,FALSE)</f>
        <v>451500</v>
      </c>
      <c r="E333" s="22" t="s">
        <v>1117</v>
      </c>
      <c r="F333" s="30" t="s">
        <v>1101</v>
      </c>
      <c r="G333" s="30" t="s">
        <v>1118</v>
      </c>
      <c r="H333" s="28">
        <f>+IF(ISBLANK(I333),0,VLOOKUP(I333,'8Příloha_2_ceník_pravid_úklid'!$B$9:$C$30,2,0))</f>
        <v>3</v>
      </c>
      <c r="I333" s="143" t="s">
        <v>3</v>
      </c>
      <c r="J333" s="145">
        <v>1.4</v>
      </c>
      <c r="K333" s="275" t="s">
        <v>51</v>
      </c>
      <c r="L333" s="156" t="s">
        <v>65</v>
      </c>
      <c r="M333" s="22" t="s">
        <v>49</v>
      </c>
      <c r="N333" s="24">
        <f>IF((VLOOKUP(I333,'8Příloha_2_ceník_pravid_úklid'!$B$9:$I$30,8,0))=0,VLOOKUP(I333,'8Příloha_2_ceník_pravid_úklid'!$B$9:$K$30,10,0),VLOOKUP(I333,'8Příloha_2_ceník_pravid_úklid'!$B$9:$I$30,8,0))</f>
        <v>0</v>
      </c>
      <c r="O333" s="20">
        <v>2</v>
      </c>
      <c r="P333" s="20">
        <v>1</v>
      </c>
      <c r="Q333" s="20">
        <v>0</v>
      </c>
      <c r="R333" s="20">
        <v>0</v>
      </c>
      <c r="S333" s="21">
        <f>NETWORKDAYS.INTL(DATE(2018,1,1),DATE(2018,12,31),1,{"2018/1/1";"2018/3/30";"2018/4/2";"2018/5/1";"2018/5/8";"2018/7/5";"2018/7/6";"2018/09/28";"2018/11/17";"2018/12/24";"2018/12/25";"2018/12/26"})</f>
        <v>250</v>
      </c>
      <c r="T333" s="21">
        <f t="shared" si="29"/>
        <v>115</v>
      </c>
      <c r="U333" s="21">
        <f t="shared" si="30"/>
        <v>365</v>
      </c>
      <c r="V333" s="311">
        <f t="shared" si="31"/>
        <v>500</v>
      </c>
      <c r="W333" s="140">
        <f t="shared" si="32"/>
        <v>0</v>
      </c>
      <c r="X333" s="141">
        <f t="shared" si="33"/>
        <v>0</v>
      </c>
      <c r="Y333" s="141">
        <v>0</v>
      </c>
    </row>
    <row r="334" spans="1:25" ht="15" x14ac:dyDescent="0.2">
      <c r="A334" s="276" t="s">
        <v>1078</v>
      </c>
      <c r="B334" s="23" t="s">
        <v>54</v>
      </c>
      <c r="C334" s="23" t="s">
        <v>217</v>
      </c>
      <c r="D334" s="139" t="str">
        <f>VLOOKUP(C334,'Seznam HS - nemaš'!$A$1:$B$96,2,FALSE)</f>
        <v>451500</v>
      </c>
      <c r="E334" s="22" t="s">
        <v>1119</v>
      </c>
      <c r="F334" s="30" t="s">
        <v>612</v>
      </c>
      <c r="G334" s="30" t="s">
        <v>1118</v>
      </c>
      <c r="H334" s="28">
        <f>+IF(ISBLANK(I334),0,VLOOKUP(I334,'8Příloha_2_ceník_pravid_úklid'!$B$9:$C$30,2,0))</f>
        <v>3</v>
      </c>
      <c r="I334" s="143" t="s">
        <v>3</v>
      </c>
      <c r="J334" s="145">
        <v>39.14</v>
      </c>
      <c r="K334" s="275" t="s">
        <v>51</v>
      </c>
      <c r="L334" s="156" t="s">
        <v>65</v>
      </c>
      <c r="M334" s="22" t="s">
        <v>49</v>
      </c>
      <c r="N334" s="24">
        <f>IF((VLOOKUP(I334,'8Příloha_2_ceník_pravid_úklid'!$B$9:$I$30,8,0))=0,VLOOKUP(I334,'8Příloha_2_ceník_pravid_úklid'!$B$9:$K$30,10,0),VLOOKUP(I334,'8Příloha_2_ceník_pravid_úklid'!$B$9:$I$30,8,0))</f>
        <v>0</v>
      </c>
      <c r="O334" s="20">
        <v>2</v>
      </c>
      <c r="P334" s="20">
        <v>1</v>
      </c>
      <c r="Q334" s="20">
        <v>0</v>
      </c>
      <c r="R334" s="20">
        <v>0</v>
      </c>
      <c r="S334" s="21">
        <f>NETWORKDAYS.INTL(DATE(2018,1,1),DATE(2018,12,31),1,{"2018/1/1";"2018/3/30";"2018/4/2";"2018/5/1";"2018/5/8";"2018/7/5";"2018/7/6";"2018/09/28";"2018/11/17";"2018/12/24";"2018/12/25";"2018/12/26"})</f>
        <v>250</v>
      </c>
      <c r="T334" s="21">
        <f t="shared" si="29"/>
        <v>115</v>
      </c>
      <c r="U334" s="21">
        <f t="shared" si="30"/>
        <v>365</v>
      </c>
      <c r="V334" s="311">
        <f t="shared" si="31"/>
        <v>500</v>
      </c>
      <c r="W334" s="140">
        <f t="shared" si="32"/>
        <v>0</v>
      </c>
      <c r="X334" s="141">
        <f t="shared" si="33"/>
        <v>0</v>
      </c>
      <c r="Y334" s="141">
        <v>0</v>
      </c>
    </row>
    <row r="335" spans="1:25" ht="15" x14ac:dyDescent="0.2">
      <c r="A335" s="276" t="s">
        <v>1078</v>
      </c>
      <c r="B335" s="23" t="s">
        <v>54</v>
      </c>
      <c r="C335" s="23" t="s">
        <v>217</v>
      </c>
      <c r="D335" s="139" t="str">
        <f>VLOOKUP(C335,'Seznam HS - nemaš'!$A$1:$B$96,2,FALSE)</f>
        <v>451500</v>
      </c>
      <c r="E335" s="22" t="s">
        <v>1120</v>
      </c>
      <c r="F335" s="30" t="s">
        <v>383</v>
      </c>
      <c r="G335" s="30" t="s">
        <v>1121</v>
      </c>
      <c r="H335" s="28">
        <f>+IF(ISBLANK(I335),0,VLOOKUP(I335,'8Příloha_2_ceník_pravid_úklid'!$B$9:$C$30,2,0))</f>
        <v>6</v>
      </c>
      <c r="I335" s="143" t="s">
        <v>1</v>
      </c>
      <c r="J335" s="145">
        <v>18.54</v>
      </c>
      <c r="K335" s="275" t="s">
        <v>51</v>
      </c>
      <c r="L335" s="156" t="s">
        <v>65</v>
      </c>
      <c r="M335" s="22" t="s">
        <v>49</v>
      </c>
      <c r="N335" s="24">
        <f>IF((VLOOKUP(I335,'8Příloha_2_ceník_pravid_úklid'!$B$9:$I$30,8,0))=0,VLOOKUP(I335,'8Příloha_2_ceník_pravid_úklid'!$B$9:$K$30,10,0),VLOOKUP(I335,'8Příloha_2_ceník_pravid_úklid'!$B$9:$I$30,8,0))</f>
        <v>0</v>
      </c>
      <c r="O335" s="20">
        <v>2</v>
      </c>
      <c r="P335" s="20">
        <v>1</v>
      </c>
      <c r="Q335" s="20">
        <v>0</v>
      </c>
      <c r="R335" s="20">
        <v>0</v>
      </c>
      <c r="S335" s="21">
        <f>NETWORKDAYS.INTL(DATE(2018,1,1),DATE(2018,12,31),1,{"2018/1/1";"2018/3/30";"2018/4/2";"2018/5/1";"2018/5/8";"2018/7/5";"2018/7/6";"2018/09/28";"2018/11/17";"2018/12/24";"2018/12/25";"2018/12/26"})</f>
        <v>250</v>
      </c>
      <c r="T335" s="21">
        <f t="shared" si="29"/>
        <v>115</v>
      </c>
      <c r="U335" s="21">
        <f t="shared" si="30"/>
        <v>365</v>
      </c>
      <c r="V335" s="311">
        <f t="shared" si="31"/>
        <v>500</v>
      </c>
      <c r="W335" s="140">
        <f t="shared" si="32"/>
        <v>0</v>
      </c>
      <c r="X335" s="141">
        <f t="shared" si="33"/>
        <v>0</v>
      </c>
      <c r="Y335" s="141">
        <v>0</v>
      </c>
    </row>
    <row r="336" spans="1:25" ht="15" x14ac:dyDescent="0.2">
      <c r="A336" s="276" t="s">
        <v>1078</v>
      </c>
      <c r="B336" s="23" t="s">
        <v>54</v>
      </c>
      <c r="C336" s="23" t="s">
        <v>217</v>
      </c>
      <c r="D336" s="139" t="str">
        <f>VLOOKUP(C336,'Seznam HS - nemaš'!$A$1:$B$96,2,FALSE)</f>
        <v>451500</v>
      </c>
      <c r="E336" s="22" t="s">
        <v>1122</v>
      </c>
      <c r="F336" s="30" t="s">
        <v>1084</v>
      </c>
      <c r="G336" s="30" t="s">
        <v>1118</v>
      </c>
      <c r="H336" s="28">
        <f>+IF(ISBLANK(I336),0,VLOOKUP(I336,'8Příloha_2_ceník_pravid_úklid'!$B$9:$C$30,2,0))</f>
        <v>4</v>
      </c>
      <c r="I336" s="143" t="s">
        <v>9</v>
      </c>
      <c r="J336" s="145">
        <v>15.73</v>
      </c>
      <c r="K336" s="275" t="s">
        <v>51</v>
      </c>
      <c r="L336" s="156" t="s">
        <v>65</v>
      </c>
      <c r="M336" s="22" t="s">
        <v>49</v>
      </c>
      <c r="N336" s="24">
        <f>IF((VLOOKUP(I336,'8Příloha_2_ceník_pravid_úklid'!$B$9:$I$30,8,0))=0,VLOOKUP(I336,'8Příloha_2_ceník_pravid_úklid'!$B$9:$K$30,10,0),VLOOKUP(I336,'8Příloha_2_ceník_pravid_úklid'!$B$9:$I$30,8,0))</f>
        <v>0</v>
      </c>
      <c r="O336" s="20">
        <v>2</v>
      </c>
      <c r="P336" s="20">
        <v>1</v>
      </c>
      <c r="Q336" s="20">
        <v>0</v>
      </c>
      <c r="R336" s="20">
        <v>0</v>
      </c>
      <c r="S336" s="21">
        <f>NETWORKDAYS.INTL(DATE(2018,1,1),DATE(2018,12,31),1,{"2018/1/1";"2018/3/30";"2018/4/2";"2018/5/1";"2018/5/8";"2018/7/5";"2018/7/6";"2018/09/28";"2018/11/17";"2018/12/24";"2018/12/25";"2018/12/26"})</f>
        <v>250</v>
      </c>
      <c r="T336" s="21">
        <f t="shared" si="29"/>
        <v>115</v>
      </c>
      <c r="U336" s="21">
        <f t="shared" si="30"/>
        <v>365</v>
      </c>
      <c r="V336" s="311">
        <f t="shared" si="31"/>
        <v>500</v>
      </c>
      <c r="W336" s="140">
        <f t="shared" si="32"/>
        <v>0</v>
      </c>
      <c r="X336" s="141">
        <f t="shared" si="33"/>
        <v>0</v>
      </c>
      <c r="Y336" s="141">
        <v>0</v>
      </c>
    </row>
    <row r="337" spans="1:26" ht="15" x14ac:dyDescent="0.2">
      <c r="A337" s="276" t="s">
        <v>1078</v>
      </c>
      <c r="B337" s="23" t="s">
        <v>54</v>
      </c>
      <c r="C337" s="23" t="s">
        <v>217</v>
      </c>
      <c r="D337" s="139" t="str">
        <f>VLOOKUP(C337,'Seznam HS - nemaš'!$A$1:$B$96,2,FALSE)</f>
        <v>451500</v>
      </c>
      <c r="E337" s="22" t="s">
        <v>1123</v>
      </c>
      <c r="F337" s="30" t="s">
        <v>437</v>
      </c>
      <c r="G337" s="30" t="s">
        <v>1118</v>
      </c>
      <c r="H337" s="28">
        <f>+IF(ISBLANK(I337),0,VLOOKUP(I337,'8Příloha_2_ceník_pravid_úklid'!$B$9:$C$30,2,0))</f>
        <v>7</v>
      </c>
      <c r="I337" s="143" t="s">
        <v>14</v>
      </c>
      <c r="J337" s="145">
        <v>1.87</v>
      </c>
      <c r="K337" s="275" t="s">
        <v>50</v>
      </c>
      <c r="L337" s="156" t="s">
        <v>65</v>
      </c>
      <c r="M337" s="22" t="s">
        <v>49</v>
      </c>
      <c r="N337" s="24">
        <f>IF((VLOOKUP(I337,'8Příloha_2_ceník_pravid_úklid'!$B$9:$I$30,8,0))=0,VLOOKUP(I337,'8Příloha_2_ceník_pravid_úklid'!$B$9:$K$30,10,0),VLOOKUP(I337,'8Příloha_2_ceník_pravid_úklid'!$B$9:$I$30,8,0))</f>
        <v>0</v>
      </c>
      <c r="O337" s="20">
        <v>2</v>
      </c>
      <c r="P337" s="20">
        <v>1</v>
      </c>
      <c r="Q337" s="20">
        <v>0</v>
      </c>
      <c r="R337" s="20">
        <v>0</v>
      </c>
      <c r="S337" s="21">
        <f>NETWORKDAYS.INTL(DATE(2018,1,1),DATE(2018,12,31),1,{"2018/1/1";"2018/3/30";"2018/4/2";"2018/5/1";"2018/5/8";"2018/7/5";"2018/7/6";"2018/09/28";"2018/11/17";"2018/12/24";"2018/12/25";"2018/12/26"})</f>
        <v>250</v>
      </c>
      <c r="T337" s="21">
        <f t="shared" si="29"/>
        <v>115</v>
      </c>
      <c r="U337" s="21">
        <f t="shared" si="30"/>
        <v>365</v>
      </c>
      <c r="V337" s="311">
        <f t="shared" si="31"/>
        <v>500</v>
      </c>
      <c r="W337" s="140">
        <f t="shared" si="32"/>
        <v>0</v>
      </c>
      <c r="X337" s="141">
        <f t="shared" si="33"/>
        <v>0</v>
      </c>
      <c r="Y337" s="141">
        <v>0</v>
      </c>
    </row>
    <row r="338" spans="1:26" ht="15" x14ac:dyDescent="0.2">
      <c r="A338" s="276" t="s">
        <v>1078</v>
      </c>
      <c r="B338" s="23" t="s">
        <v>54</v>
      </c>
      <c r="C338" s="23" t="s">
        <v>217</v>
      </c>
      <c r="D338" s="139" t="str">
        <f>VLOOKUP(C338,'Seznam HS - nemaš'!$A$1:$B$96,2,FALSE)</f>
        <v>451500</v>
      </c>
      <c r="E338" s="22" t="s">
        <v>1124</v>
      </c>
      <c r="F338" s="30" t="s">
        <v>612</v>
      </c>
      <c r="G338" s="30" t="s">
        <v>1092</v>
      </c>
      <c r="H338" s="28">
        <f>+IF(ISBLANK(I338),0,VLOOKUP(I338,'8Příloha_2_ceník_pravid_úklid'!$B$9:$C$30,2,0))</f>
        <v>3</v>
      </c>
      <c r="I338" s="143" t="s">
        <v>3</v>
      </c>
      <c r="J338" s="145">
        <v>20.239999999999998</v>
      </c>
      <c r="K338" s="275" t="s">
        <v>51</v>
      </c>
      <c r="L338" s="156" t="s">
        <v>65</v>
      </c>
      <c r="M338" s="22" t="s">
        <v>49</v>
      </c>
      <c r="N338" s="24">
        <f>IF((VLOOKUP(I338,'8Příloha_2_ceník_pravid_úklid'!$B$9:$I$30,8,0))=0,VLOOKUP(I338,'8Příloha_2_ceník_pravid_úklid'!$B$9:$K$30,10,0),VLOOKUP(I338,'8Příloha_2_ceník_pravid_úklid'!$B$9:$I$30,8,0))</f>
        <v>0</v>
      </c>
      <c r="O338" s="20">
        <v>2</v>
      </c>
      <c r="P338" s="20">
        <v>1</v>
      </c>
      <c r="Q338" s="20">
        <v>0</v>
      </c>
      <c r="R338" s="20">
        <v>0</v>
      </c>
      <c r="S338" s="21">
        <f>NETWORKDAYS.INTL(DATE(2018,1,1),DATE(2018,12,31),1,{"2018/1/1";"2018/3/30";"2018/4/2";"2018/5/1";"2018/5/8";"2018/7/5";"2018/7/6";"2018/09/28";"2018/11/17";"2018/12/24";"2018/12/25";"2018/12/26"})</f>
        <v>250</v>
      </c>
      <c r="T338" s="21">
        <f t="shared" si="29"/>
        <v>115</v>
      </c>
      <c r="U338" s="21">
        <f t="shared" si="30"/>
        <v>365</v>
      </c>
      <c r="V338" s="311">
        <f t="shared" si="31"/>
        <v>500</v>
      </c>
      <c r="W338" s="140">
        <f t="shared" si="32"/>
        <v>0</v>
      </c>
      <c r="X338" s="141">
        <f t="shared" si="33"/>
        <v>0</v>
      </c>
      <c r="Y338" s="141">
        <v>0</v>
      </c>
    </row>
    <row r="339" spans="1:26" ht="15" x14ac:dyDescent="0.2">
      <c r="A339" s="251" t="s">
        <v>1008</v>
      </c>
      <c r="B339" s="252" t="s">
        <v>54</v>
      </c>
      <c r="C339" s="252"/>
      <c r="D339" s="542">
        <f>VLOOKUP(C339,'Seznam HS - nemaš'!$A$1:$B$96,2,FALSE)</f>
        <v>0</v>
      </c>
      <c r="E339" s="253" t="s">
        <v>1125</v>
      </c>
      <c r="F339" s="296" t="s">
        <v>1126</v>
      </c>
      <c r="G339" s="296" t="s">
        <v>1127</v>
      </c>
      <c r="H339" s="296">
        <f>+IF(ISBLANK(I339),0,VLOOKUP(I339,'8Příloha_2_ceník_pravid_úklid'!$B$9:$C$30,2,0))</f>
        <v>0</v>
      </c>
      <c r="I339" s="256"/>
      <c r="J339" s="255">
        <v>9.82</v>
      </c>
      <c r="K339" s="258"/>
      <c r="L339" s="259" t="s">
        <v>387</v>
      </c>
      <c r="M339" s="253"/>
      <c r="N339" s="260" t="s">
        <v>501</v>
      </c>
      <c r="O339" s="261">
        <v>0</v>
      </c>
      <c r="P339" s="261">
        <v>0</v>
      </c>
      <c r="Q339" s="261">
        <v>0</v>
      </c>
      <c r="R339" s="261">
        <v>0</v>
      </c>
      <c r="S339" s="262">
        <f>NETWORKDAYS.INTL(DATE(2018,1,1),DATE(2018,12,31),1,{"2018/1/1";"2018/3/30";"2018/4/2";"2018/5/1";"2018/5/8";"2018/7/5";"2018/7/6";"2018/09/28";"2018/11/17";"2018/12/24";"2018/12/25";"2018/12/26"})</f>
        <v>250</v>
      </c>
      <c r="T339" s="262">
        <f t="shared" si="29"/>
        <v>115</v>
      </c>
      <c r="U339" s="262">
        <f t="shared" si="30"/>
        <v>365</v>
      </c>
      <c r="V339" s="376">
        <f t="shared" si="31"/>
        <v>0</v>
      </c>
      <c r="W339" s="264">
        <f t="shared" si="32"/>
        <v>0</v>
      </c>
      <c r="X339" s="265">
        <f t="shared" si="33"/>
        <v>0</v>
      </c>
      <c r="Y339" s="265">
        <f t="shared" si="33"/>
        <v>0</v>
      </c>
    </row>
    <row r="340" spans="1:26" ht="15" x14ac:dyDescent="0.2">
      <c r="A340" s="338" t="s">
        <v>1128</v>
      </c>
      <c r="B340" s="32" t="s">
        <v>328</v>
      </c>
      <c r="C340" s="32" t="s">
        <v>185</v>
      </c>
      <c r="D340" s="139" t="str">
        <f>VLOOKUP(C340,'Seznam HS - nemaš'!$A$1:$B$96,2,FALSE)</f>
        <v>430100</v>
      </c>
      <c r="E340" s="29" t="s">
        <v>1129</v>
      </c>
      <c r="F340" s="28" t="s">
        <v>567</v>
      </c>
      <c r="G340" s="28" t="s">
        <v>568</v>
      </c>
      <c r="H340" s="28">
        <f>+IF(ISBLANK(I340),0,VLOOKUP(I340,'8Příloha_2_ceník_pravid_úklid'!$B$9:$C$30,2,0))</f>
        <v>1</v>
      </c>
      <c r="I340" s="149" t="s">
        <v>78</v>
      </c>
      <c r="J340" s="172">
        <v>14.93</v>
      </c>
      <c r="K340" s="285" t="s">
        <v>51</v>
      </c>
      <c r="L340" s="152" t="s">
        <v>537</v>
      </c>
      <c r="M340" s="29" t="s">
        <v>49</v>
      </c>
      <c r="N340" s="24">
        <f>IF((VLOOKUP(I340,'8Příloha_2_ceník_pravid_úklid'!$B$9:$I$30,8,0))=0,VLOOKUP(I340,'8Příloha_2_ceník_pravid_úklid'!$B$9:$K$30,10,0),VLOOKUP(I340,'8Příloha_2_ceník_pravid_úklid'!$B$9:$I$30,8,0))</f>
        <v>0</v>
      </c>
      <c r="O340" s="25">
        <v>1</v>
      </c>
      <c r="P340" s="25">
        <v>1</v>
      </c>
      <c r="Q340" s="25">
        <v>1</v>
      </c>
      <c r="R340" s="25">
        <v>1</v>
      </c>
      <c r="S340" s="26">
        <f>NETWORKDAYS.INTL(DATE(2018,1,1),DATE(2018,12,31),1,{"2018/1/1";"2018/3/30";"2018/4/2";"2018/5/1";"2018/5/8";"2018/7/5";"2018/7/6";"2018/09/28";"2018/11/17";"2018/12/24";"2018/12/25";"2018/12/26"})</f>
        <v>250</v>
      </c>
      <c r="T340" s="26">
        <f t="shared" si="29"/>
        <v>115</v>
      </c>
      <c r="U340" s="26">
        <f t="shared" si="30"/>
        <v>365</v>
      </c>
      <c r="V340" s="314">
        <f t="shared" si="31"/>
        <v>365</v>
      </c>
      <c r="W340" s="173">
        <f t="shared" si="32"/>
        <v>0</v>
      </c>
      <c r="X340" s="174">
        <f t="shared" si="33"/>
        <v>0</v>
      </c>
      <c r="Y340" s="141">
        <v>0</v>
      </c>
      <c r="Z340" s="532"/>
    </row>
    <row r="341" spans="1:26" ht="15" x14ac:dyDescent="0.2">
      <c r="A341" s="276" t="s">
        <v>1128</v>
      </c>
      <c r="B341" s="23" t="s">
        <v>328</v>
      </c>
      <c r="C341" s="32" t="s">
        <v>185</v>
      </c>
      <c r="D341" s="139" t="str">
        <f>VLOOKUP(C341,'Seznam HS - nemaš'!$A$1:$B$96,2,FALSE)</f>
        <v>430100</v>
      </c>
      <c r="E341" s="22" t="s">
        <v>1130</v>
      </c>
      <c r="F341" s="30" t="s">
        <v>724</v>
      </c>
      <c r="G341" s="30"/>
      <c r="H341" s="28">
        <f>+IF(ISBLANK(I341),0,VLOOKUP(I341,'8Příloha_2_ceník_pravid_úklid'!$B$9:$C$30,2,0))</f>
        <v>7</v>
      </c>
      <c r="I341" s="143" t="s">
        <v>14</v>
      </c>
      <c r="J341" s="145">
        <v>2.84</v>
      </c>
      <c r="K341" s="275" t="s">
        <v>50</v>
      </c>
      <c r="L341" s="156" t="s">
        <v>22</v>
      </c>
      <c r="M341" s="22" t="s">
        <v>49</v>
      </c>
      <c r="N341" s="24">
        <f>IF((VLOOKUP(I341,'8Příloha_2_ceník_pravid_úklid'!$B$9:$I$30,8,0))=0,VLOOKUP(I341,'8Příloha_2_ceník_pravid_úklid'!$B$9:$K$30,10,0),VLOOKUP(I341,'8Příloha_2_ceník_pravid_úklid'!$B$9:$I$30,8,0))</f>
        <v>0</v>
      </c>
      <c r="O341" s="20">
        <v>2</v>
      </c>
      <c r="P341" s="20">
        <v>1</v>
      </c>
      <c r="Q341" s="20">
        <v>2</v>
      </c>
      <c r="R341" s="20">
        <v>1</v>
      </c>
      <c r="S341" s="21">
        <f>NETWORKDAYS.INTL(DATE(2018,1,1),DATE(2018,12,31),1,{"2018/1/1";"2018/3/30";"2018/4/2";"2018/5/1";"2018/5/8";"2018/7/5";"2018/7/6";"2018/09/28";"2018/11/17";"2018/12/24";"2018/12/25";"2018/12/26"})</f>
        <v>250</v>
      </c>
      <c r="T341" s="21">
        <f t="shared" si="29"/>
        <v>115</v>
      </c>
      <c r="U341" s="21">
        <f t="shared" si="30"/>
        <v>365</v>
      </c>
      <c r="V341" s="311">
        <f t="shared" si="31"/>
        <v>730</v>
      </c>
      <c r="W341" s="140">
        <f t="shared" si="32"/>
        <v>0</v>
      </c>
      <c r="X341" s="141">
        <f t="shared" si="33"/>
        <v>0</v>
      </c>
      <c r="Y341" s="141">
        <v>0</v>
      </c>
    </row>
    <row r="342" spans="1:26" ht="15" x14ac:dyDescent="0.2">
      <c r="A342" s="235" t="s">
        <v>1128</v>
      </c>
      <c r="B342" s="236" t="s">
        <v>328</v>
      </c>
      <c r="C342" s="222" t="s">
        <v>185</v>
      </c>
      <c r="D342" s="535" t="str">
        <f>VLOOKUP(C342,'Seznam HS - nemaš'!$A$1:$B$96,2,FALSE)</f>
        <v>430100</v>
      </c>
      <c r="E342" s="237" t="s">
        <v>1131</v>
      </c>
      <c r="F342" s="303" t="s">
        <v>398</v>
      </c>
      <c r="G342" s="303"/>
      <c r="H342" s="224">
        <f>+IF(ISBLANK(I342),0,VLOOKUP(I342,'8Příloha_2_ceník_pravid_úklid'!$B$9:$C$30,2,0))</f>
        <v>0</v>
      </c>
      <c r="I342" s="273"/>
      <c r="J342" s="241">
        <v>3.24</v>
      </c>
      <c r="K342" s="240" t="s">
        <v>51</v>
      </c>
      <c r="L342" s="242" t="s">
        <v>387</v>
      </c>
      <c r="M342" s="237"/>
      <c r="N342" s="229" t="s">
        <v>501</v>
      </c>
      <c r="O342" s="230">
        <v>0</v>
      </c>
      <c r="P342" s="230">
        <v>0</v>
      </c>
      <c r="Q342" s="230">
        <v>0</v>
      </c>
      <c r="R342" s="230">
        <v>0</v>
      </c>
      <c r="S342" s="231">
        <f>NETWORKDAYS.INTL(DATE(2018,1,1),DATE(2018,12,31),1,{"2018/1/1";"2018/3/30";"2018/4/2";"2018/5/1";"2018/5/8";"2018/7/5";"2018/7/6";"2018/09/28";"2018/11/17";"2018/12/24";"2018/12/25";"2018/12/26"})</f>
        <v>250</v>
      </c>
      <c r="T342" s="231">
        <f t="shared" si="29"/>
        <v>115</v>
      </c>
      <c r="U342" s="231">
        <f t="shared" si="30"/>
        <v>365</v>
      </c>
      <c r="V342" s="312">
        <f t="shared" si="31"/>
        <v>0</v>
      </c>
      <c r="W342" s="233">
        <f t="shared" si="32"/>
        <v>0</v>
      </c>
      <c r="X342" s="234">
        <f t="shared" si="33"/>
        <v>0</v>
      </c>
      <c r="Y342" s="234">
        <f t="shared" si="33"/>
        <v>0</v>
      </c>
    </row>
    <row r="343" spans="1:26" ht="15" x14ac:dyDescent="0.2">
      <c r="A343" s="276" t="s">
        <v>1128</v>
      </c>
      <c r="B343" s="23" t="s">
        <v>328</v>
      </c>
      <c r="C343" s="32" t="s">
        <v>185</v>
      </c>
      <c r="D343" s="139" t="str">
        <f>VLOOKUP(C343,'Seznam HS - nemaš'!$A$1:$B$96,2,FALSE)</f>
        <v>430100</v>
      </c>
      <c r="E343" s="22" t="s">
        <v>1132</v>
      </c>
      <c r="F343" s="30" t="s">
        <v>724</v>
      </c>
      <c r="G343" s="30"/>
      <c r="H343" s="28">
        <f>+IF(ISBLANK(I343),0,VLOOKUP(I343,'8Příloha_2_ceník_pravid_úklid'!$B$9:$C$30,2,0))</f>
        <v>7</v>
      </c>
      <c r="I343" s="143" t="s">
        <v>14</v>
      </c>
      <c r="J343" s="145">
        <v>3.13</v>
      </c>
      <c r="K343" s="275" t="s">
        <v>50</v>
      </c>
      <c r="L343" s="156" t="s">
        <v>22</v>
      </c>
      <c r="M343" s="22" t="s">
        <v>49</v>
      </c>
      <c r="N343" s="24">
        <f>IF((VLOOKUP(I343,'8Příloha_2_ceník_pravid_úklid'!$B$9:$I$30,8,0))=0,VLOOKUP(I343,'8Příloha_2_ceník_pravid_úklid'!$B$9:$K$30,10,0),VLOOKUP(I343,'8Příloha_2_ceník_pravid_úklid'!$B$9:$I$30,8,0))</f>
        <v>0</v>
      </c>
      <c r="O343" s="20">
        <v>2</v>
      </c>
      <c r="P343" s="20">
        <v>1</v>
      </c>
      <c r="Q343" s="20">
        <v>2</v>
      </c>
      <c r="R343" s="20">
        <v>1</v>
      </c>
      <c r="S343" s="21">
        <f>NETWORKDAYS.INTL(DATE(2018,1,1),DATE(2018,12,31),1,{"2018/1/1";"2018/3/30";"2018/4/2";"2018/5/1";"2018/5/8";"2018/7/5";"2018/7/6";"2018/09/28";"2018/11/17";"2018/12/24";"2018/12/25";"2018/12/26"})</f>
        <v>250</v>
      </c>
      <c r="T343" s="21">
        <f t="shared" si="29"/>
        <v>115</v>
      </c>
      <c r="U343" s="21">
        <f t="shared" si="30"/>
        <v>365</v>
      </c>
      <c r="V343" s="311">
        <f t="shared" si="31"/>
        <v>730</v>
      </c>
      <c r="W343" s="140">
        <f t="shared" si="32"/>
        <v>0</v>
      </c>
      <c r="X343" s="141">
        <f t="shared" si="33"/>
        <v>0</v>
      </c>
      <c r="Y343" s="141">
        <v>0</v>
      </c>
    </row>
    <row r="344" spans="1:26" ht="15" x14ac:dyDescent="0.2">
      <c r="A344" s="276" t="s">
        <v>1128</v>
      </c>
      <c r="B344" s="23" t="s">
        <v>328</v>
      </c>
      <c r="C344" s="32" t="s">
        <v>185</v>
      </c>
      <c r="D344" s="139" t="str">
        <f>VLOOKUP(C344,'Seznam HS - nemaš'!$A$1:$B$96,2,FALSE)</f>
        <v>430100</v>
      </c>
      <c r="E344" s="22" t="s">
        <v>1133</v>
      </c>
      <c r="F344" s="30" t="s">
        <v>567</v>
      </c>
      <c r="G344" s="30" t="s">
        <v>872</v>
      </c>
      <c r="H344" s="28">
        <f>+IF(ISBLANK(I344),0,VLOOKUP(I344,'8Příloha_2_ceník_pravid_úklid'!$B$9:$C$30,2,0))</f>
        <v>1</v>
      </c>
      <c r="I344" s="143" t="s">
        <v>78</v>
      </c>
      <c r="J344" s="145">
        <v>26.63</v>
      </c>
      <c r="K344" s="275" t="s">
        <v>51</v>
      </c>
      <c r="L344" s="156" t="s">
        <v>537</v>
      </c>
      <c r="M344" s="22" t="s">
        <v>49</v>
      </c>
      <c r="N344" s="24">
        <f>IF((VLOOKUP(I344,'8Příloha_2_ceník_pravid_úklid'!$B$9:$I$30,8,0))=0,VLOOKUP(I344,'8Příloha_2_ceník_pravid_úklid'!$B$9:$K$30,10,0),VLOOKUP(I344,'8Příloha_2_ceník_pravid_úklid'!$B$9:$I$30,8,0))</f>
        <v>0</v>
      </c>
      <c r="O344" s="20">
        <v>1</v>
      </c>
      <c r="P344" s="20">
        <v>1</v>
      </c>
      <c r="Q344" s="20">
        <v>1</v>
      </c>
      <c r="R344" s="20">
        <v>1</v>
      </c>
      <c r="S344" s="21">
        <f>NETWORKDAYS.INTL(DATE(2018,1,1),DATE(2018,12,31),1,{"2018/1/1";"2018/3/30";"2018/4/2";"2018/5/1";"2018/5/8";"2018/7/5";"2018/7/6";"2018/09/28";"2018/11/17";"2018/12/24";"2018/12/25";"2018/12/26"})</f>
        <v>250</v>
      </c>
      <c r="T344" s="21">
        <f t="shared" si="29"/>
        <v>115</v>
      </c>
      <c r="U344" s="21">
        <f t="shared" si="30"/>
        <v>365</v>
      </c>
      <c r="V344" s="311">
        <f t="shared" si="31"/>
        <v>365</v>
      </c>
      <c r="W344" s="140">
        <f t="shared" si="32"/>
        <v>0</v>
      </c>
      <c r="X344" s="141">
        <f t="shared" si="33"/>
        <v>0</v>
      </c>
      <c r="Y344" s="141">
        <v>0</v>
      </c>
    </row>
    <row r="345" spans="1:26" ht="15" x14ac:dyDescent="0.2">
      <c r="A345" s="276" t="s">
        <v>1128</v>
      </c>
      <c r="B345" s="23" t="s">
        <v>328</v>
      </c>
      <c r="C345" s="32" t="s">
        <v>185</v>
      </c>
      <c r="D345" s="139" t="str">
        <f>VLOOKUP(C345,'Seznam HS - nemaš'!$A$1:$B$96,2,FALSE)</f>
        <v>430100</v>
      </c>
      <c r="E345" s="22" t="s">
        <v>1134</v>
      </c>
      <c r="F345" s="30" t="s">
        <v>567</v>
      </c>
      <c r="G345" s="30" t="s">
        <v>872</v>
      </c>
      <c r="H345" s="28">
        <f>+IF(ISBLANK(I345),0,VLOOKUP(I345,'8Příloha_2_ceník_pravid_úklid'!$B$9:$C$30,2,0))</f>
        <v>1</v>
      </c>
      <c r="I345" s="143" t="s">
        <v>78</v>
      </c>
      <c r="J345" s="145">
        <v>27.97</v>
      </c>
      <c r="K345" s="275" t="s">
        <v>51</v>
      </c>
      <c r="L345" s="156" t="s">
        <v>537</v>
      </c>
      <c r="M345" s="22" t="s">
        <v>49</v>
      </c>
      <c r="N345" s="24">
        <f>IF((VLOOKUP(I345,'8Příloha_2_ceník_pravid_úklid'!$B$9:$I$30,8,0))=0,VLOOKUP(I345,'8Příloha_2_ceník_pravid_úklid'!$B$9:$K$30,10,0),VLOOKUP(I345,'8Příloha_2_ceník_pravid_úklid'!$B$9:$I$30,8,0))</f>
        <v>0</v>
      </c>
      <c r="O345" s="20">
        <v>1</v>
      </c>
      <c r="P345" s="20">
        <v>1</v>
      </c>
      <c r="Q345" s="20">
        <v>1</v>
      </c>
      <c r="R345" s="20">
        <v>1</v>
      </c>
      <c r="S345" s="21">
        <f>NETWORKDAYS.INTL(DATE(2018,1,1),DATE(2018,12,31),1,{"2018/1/1";"2018/3/30";"2018/4/2";"2018/5/1";"2018/5/8";"2018/7/5";"2018/7/6";"2018/09/28";"2018/11/17";"2018/12/24";"2018/12/25";"2018/12/26"})</f>
        <v>250</v>
      </c>
      <c r="T345" s="21">
        <f t="shared" si="29"/>
        <v>115</v>
      </c>
      <c r="U345" s="21">
        <f t="shared" si="30"/>
        <v>365</v>
      </c>
      <c r="V345" s="311">
        <f t="shared" si="31"/>
        <v>365</v>
      </c>
      <c r="W345" s="140">
        <f t="shared" si="32"/>
        <v>0</v>
      </c>
      <c r="X345" s="141">
        <f t="shared" si="33"/>
        <v>0</v>
      </c>
      <c r="Y345" s="141">
        <v>0</v>
      </c>
    </row>
    <row r="346" spans="1:26" ht="15" x14ac:dyDescent="0.2">
      <c r="A346" s="276" t="s">
        <v>1128</v>
      </c>
      <c r="B346" s="23" t="s">
        <v>328</v>
      </c>
      <c r="C346" s="32" t="s">
        <v>185</v>
      </c>
      <c r="D346" s="139" t="str">
        <f>VLOOKUP(C346,'Seznam HS - nemaš'!$A$1:$B$96,2,FALSE)</f>
        <v>430100</v>
      </c>
      <c r="E346" s="22" t="s">
        <v>1135</v>
      </c>
      <c r="F346" s="30" t="s">
        <v>724</v>
      </c>
      <c r="G346" s="30"/>
      <c r="H346" s="28">
        <f>+IF(ISBLANK(I346),0,VLOOKUP(I346,'8Příloha_2_ceník_pravid_úklid'!$B$9:$C$30,2,0))</f>
        <v>7</v>
      </c>
      <c r="I346" s="143" t="s">
        <v>14</v>
      </c>
      <c r="J346" s="145">
        <v>3.42</v>
      </c>
      <c r="K346" s="275" t="s">
        <v>50</v>
      </c>
      <c r="L346" s="156" t="s">
        <v>22</v>
      </c>
      <c r="M346" s="22" t="s">
        <v>49</v>
      </c>
      <c r="N346" s="24">
        <f>IF((VLOOKUP(I346,'8Příloha_2_ceník_pravid_úklid'!$B$9:$I$30,8,0))=0,VLOOKUP(I346,'8Příloha_2_ceník_pravid_úklid'!$B$9:$K$30,10,0),VLOOKUP(I346,'8Příloha_2_ceník_pravid_úklid'!$B$9:$I$30,8,0))</f>
        <v>0</v>
      </c>
      <c r="O346" s="20">
        <v>2</v>
      </c>
      <c r="P346" s="20">
        <v>1</v>
      </c>
      <c r="Q346" s="20">
        <v>2</v>
      </c>
      <c r="R346" s="20">
        <v>1</v>
      </c>
      <c r="S346" s="21">
        <f>NETWORKDAYS.INTL(DATE(2018,1,1),DATE(2018,12,31),1,{"2018/1/1";"2018/3/30";"2018/4/2";"2018/5/1";"2018/5/8";"2018/7/5";"2018/7/6";"2018/09/28";"2018/11/17";"2018/12/24";"2018/12/25";"2018/12/26"})</f>
        <v>250</v>
      </c>
      <c r="T346" s="21">
        <f t="shared" si="29"/>
        <v>115</v>
      </c>
      <c r="U346" s="21">
        <f t="shared" si="30"/>
        <v>365</v>
      </c>
      <c r="V346" s="311">
        <f t="shared" si="31"/>
        <v>730</v>
      </c>
      <c r="W346" s="140">
        <f t="shared" si="32"/>
        <v>0</v>
      </c>
      <c r="X346" s="141">
        <f t="shared" si="33"/>
        <v>0</v>
      </c>
      <c r="Y346" s="141">
        <v>0</v>
      </c>
    </row>
    <row r="347" spans="1:26" ht="15" x14ac:dyDescent="0.2">
      <c r="A347" s="276" t="s">
        <v>1128</v>
      </c>
      <c r="B347" s="23" t="s">
        <v>328</v>
      </c>
      <c r="C347" s="32" t="s">
        <v>185</v>
      </c>
      <c r="D347" s="139" t="str">
        <f>VLOOKUP(C347,'Seznam HS - nemaš'!$A$1:$B$96,2,FALSE)</f>
        <v>430100</v>
      </c>
      <c r="E347" s="22" t="s">
        <v>1136</v>
      </c>
      <c r="F347" s="30" t="s">
        <v>567</v>
      </c>
      <c r="G347" s="30" t="s">
        <v>872</v>
      </c>
      <c r="H347" s="28">
        <f>+IF(ISBLANK(I347),0,VLOOKUP(I347,'8Příloha_2_ceník_pravid_úklid'!$B$9:$C$30,2,0))</f>
        <v>1</v>
      </c>
      <c r="I347" s="143" t="s">
        <v>78</v>
      </c>
      <c r="J347" s="145">
        <v>28.05</v>
      </c>
      <c r="K347" s="275" t="s">
        <v>51</v>
      </c>
      <c r="L347" s="156" t="s">
        <v>537</v>
      </c>
      <c r="M347" s="22" t="s">
        <v>49</v>
      </c>
      <c r="N347" s="24">
        <f>IF((VLOOKUP(I347,'8Příloha_2_ceník_pravid_úklid'!$B$9:$I$30,8,0))=0,VLOOKUP(I347,'8Příloha_2_ceník_pravid_úklid'!$B$9:$K$30,10,0),VLOOKUP(I347,'8Příloha_2_ceník_pravid_úklid'!$B$9:$I$30,8,0))</f>
        <v>0</v>
      </c>
      <c r="O347" s="20">
        <v>1</v>
      </c>
      <c r="P347" s="20">
        <v>1</v>
      </c>
      <c r="Q347" s="20">
        <v>1</v>
      </c>
      <c r="R347" s="20">
        <v>1</v>
      </c>
      <c r="S347" s="21">
        <f>NETWORKDAYS.INTL(DATE(2018,1,1),DATE(2018,12,31),1,{"2018/1/1";"2018/3/30";"2018/4/2";"2018/5/1";"2018/5/8";"2018/7/5";"2018/7/6";"2018/09/28";"2018/11/17";"2018/12/24";"2018/12/25";"2018/12/26"})</f>
        <v>250</v>
      </c>
      <c r="T347" s="21">
        <f t="shared" si="29"/>
        <v>115</v>
      </c>
      <c r="U347" s="21">
        <f t="shared" si="30"/>
        <v>365</v>
      </c>
      <c r="V347" s="311">
        <f t="shared" si="31"/>
        <v>365</v>
      </c>
      <c r="W347" s="140">
        <f t="shared" si="32"/>
        <v>0</v>
      </c>
      <c r="X347" s="141">
        <f t="shared" si="33"/>
        <v>0</v>
      </c>
      <c r="Y347" s="141">
        <v>0</v>
      </c>
    </row>
    <row r="348" spans="1:26" ht="15" x14ac:dyDescent="0.2">
      <c r="A348" s="276" t="s">
        <v>1128</v>
      </c>
      <c r="B348" s="23" t="s">
        <v>328</v>
      </c>
      <c r="C348" s="32" t="s">
        <v>185</v>
      </c>
      <c r="D348" s="139" t="str">
        <f>VLOOKUP(C348,'Seznam HS - nemaš'!$A$1:$B$96,2,FALSE)</f>
        <v>430100</v>
      </c>
      <c r="E348" s="22" t="s">
        <v>1137</v>
      </c>
      <c r="F348" s="30" t="s">
        <v>724</v>
      </c>
      <c r="G348" s="30"/>
      <c r="H348" s="28">
        <f>+IF(ISBLANK(I348),0,VLOOKUP(I348,'8Příloha_2_ceník_pravid_úklid'!$B$9:$C$30,2,0))</f>
        <v>7</v>
      </c>
      <c r="I348" s="143" t="s">
        <v>14</v>
      </c>
      <c r="J348" s="145">
        <v>3.54</v>
      </c>
      <c r="K348" s="275" t="s">
        <v>50</v>
      </c>
      <c r="L348" s="156" t="s">
        <v>22</v>
      </c>
      <c r="M348" s="22" t="s">
        <v>49</v>
      </c>
      <c r="N348" s="24">
        <f>IF((VLOOKUP(I348,'8Příloha_2_ceník_pravid_úklid'!$B$9:$I$30,8,0))=0,VLOOKUP(I348,'8Příloha_2_ceník_pravid_úklid'!$B$9:$K$30,10,0),VLOOKUP(I348,'8Příloha_2_ceník_pravid_úklid'!$B$9:$I$30,8,0))</f>
        <v>0</v>
      </c>
      <c r="O348" s="20">
        <v>2</v>
      </c>
      <c r="P348" s="20">
        <v>1</v>
      </c>
      <c r="Q348" s="20">
        <v>2</v>
      </c>
      <c r="R348" s="20">
        <v>1</v>
      </c>
      <c r="S348" s="21">
        <f>NETWORKDAYS.INTL(DATE(2018,1,1),DATE(2018,12,31),1,{"2018/1/1";"2018/3/30";"2018/4/2";"2018/5/1";"2018/5/8";"2018/7/5";"2018/7/6";"2018/09/28";"2018/11/17";"2018/12/24";"2018/12/25";"2018/12/26"})</f>
        <v>250</v>
      </c>
      <c r="T348" s="21">
        <f t="shared" si="29"/>
        <v>115</v>
      </c>
      <c r="U348" s="21">
        <f t="shared" si="30"/>
        <v>365</v>
      </c>
      <c r="V348" s="311">
        <f t="shared" si="31"/>
        <v>730</v>
      </c>
      <c r="W348" s="140">
        <f t="shared" si="32"/>
        <v>0</v>
      </c>
      <c r="X348" s="141">
        <f t="shared" si="33"/>
        <v>0</v>
      </c>
      <c r="Y348" s="141">
        <v>0</v>
      </c>
    </row>
    <row r="349" spans="1:26" ht="15" x14ac:dyDescent="0.2">
      <c r="A349" s="276" t="s">
        <v>1128</v>
      </c>
      <c r="B349" s="23" t="s">
        <v>328</v>
      </c>
      <c r="C349" s="32" t="s">
        <v>185</v>
      </c>
      <c r="D349" s="139" t="str">
        <f>VLOOKUP(C349,'Seznam HS - nemaš'!$A$1:$B$96,2,FALSE)</f>
        <v>430100</v>
      </c>
      <c r="E349" s="22" t="s">
        <v>1138</v>
      </c>
      <c r="F349" s="30" t="s">
        <v>612</v>
      </c>
      <c r="G349" s="30" t="s">
        <v>880</v>
      </c>
      <c r="H349" s="28">
        <f>+IF(ISBLANK(I349),0,VLOOKUP(I349,'8Příloha_2_ceník_pravid_úklid'!$B$9:$C$30,2,0))</f>
        <v>3</v>
      </c>
      <c r="I349" s="143" t="s">
        <v>3</v>
      </c>
      <c r="J349" s="145">
        <v>15.26</v>
      </c>
      <c r="K349" s="275" t="s">
        <v>51</v>
      </c>
      <c r="L349" s="156" t="s">
        <v>22</v>
      </c>
      <c r="M349" s="22" t="s">
        <v>49</v>
      </c>
      <c r="N349" s="24">
        <f>IF((VLOOKUP(I349,'8Příloha_2_ceník_pravid_úklid'!$B$9:$I$30,8,0))=0,VLOOKUP(I349,'8Příloha_2_ceník_pravid_úklid'!$B$9:$K$30,10,0),VLOOKUP(I349,'8Příloha_2_ceník_pravid_úklid'!$B$9:$I$30,8,0))</f>
        <v>0</v>
      </c>
      <c r="O349" s="20">
        <v>2</v>
      </c>
      <c r="P349" s="20">
        <v>1</v>
      </c>
      <c r="Q349" s="20">
        <v>2</v>
      </c>
      <c r="R349" s="20">
        <v>1</v>
      </c>
      <c r="S349" s="21">
        <f>NETWORKDAYS.INTL(DATE(2018,1,1),DATE(2018,12,31),1,{"2018/1/1";"2018/3/30";"2018/4/2";"2018/5/1";"2018/5/8";"2018/7/5";"2018/7/6";"2018/09/28";"2018/11/17";"2018/12/24";"2018/12/25";"2018/12/26"})</f>
        <v>250</v>
      </c>
      <c r="T349" s="21">
        <f t="shared" si="29"/>
        <v>115</v>
      </c>
      <c r="U349" s="21">
        <f t="shared" si="30"/>
        <v>365</v>
      </c>
      <c r="V349" s="311">
        <f t="shared" si="31"/>
        <v>730</v>
      </c>
      <c r="W349" s="140">
        <f t="shared" si="32"/>
        <v>0</v>
      </c>
      <c r="X349" s="141">
        <f t="shared" si="33"/>
        <v>0</v>
      </c>
      <c r="Y349" s="141">
        <v>0</v>
      </c>
    </row>
    <row r="350" spans="1:26" ht="15" x14ac:dyDescent="0.2">
      <c r="A350" s="276" t="s">
        <v>1128</v>
      </c>
      <c r="B350" s="23" t="s">
        <v>328</v>
      </c>
      <c r="C350" s="32" t="s">
        <v>185</v>
      </c>
      <c r="D350" s="139" t="str">
        <f>VLOOKUP(C350,'Seznam HS - nemaš'!$A$1:$B$96,2,FALSE)</f>
        <v>430100</v>
      </c>
      <c r="E350" s="22" t="s">
        <v>1139</v>
      </c>
      <c r="F350" s="30" t="s">
        <v>565</v>
      </c>
      <c r="G350" s="30"/>
      <c r="H350" s="28">
        <f>+IF(ISBLANK(I350),0,VLOOKUP(I350,'8Příloha_2_ceník_pravid_úklid'!$B$9:$C$30,2,0))</f>
        <v>2</v>
      </c>
      <c r="I350" s="143" t="s">
        <v>2</v>
      </c>
      <c r="J350" s="145">
        <v>17.8</v>
      </c>
      <c r="K350" s="275" t="s">
        <v>51</v>
      </c>
      <c r="L350" s="156" t="s">
        <v>22</v>
      </c>
      <c r="M350" s="22" t="s">
        <v>49</v>
      </c>
      <c r="N350" s="24">
        <f>IF((VLOOKUP(I350,'8Příloha_2_ceník_pravid_úklid'!$B$9:$I$30,8,0))=0,VLOOKUP(I350,'8Příloha_2_ceník_pravid_úklid'!$B$9:$K$30,10,0),VLOOKUP(I350,'8Příloha_2_ceník_pravid_úklid'!$B$9:$I$30,8,0))</f>
        <v>0</v>
      </c>
      <c r="O350" s="20">
        <v>2</v>
      </c>
      <c r="P350" s="20">
        <v>1</v>
      </c>
      <c r="Q350" s="20">
        <v>2</v>
      </c>
      <c r="R350" s="20">
        <v>1</v>
      </c>
      <c r="S350" s="21">
        <f>NETWORKDAYS.INTL(DATE(2018,1,1),DATE(2018,12,31),1,{"2018/1/1";"2018/3/30";"2018/4/2";"2018/5/1";"2018/5/8";"2018/7/5";"2018/7/6";"2018/09/28";"2018/11/17";"2018/12/24";"2018/12/25";"2018/12/26"})</f>
        <v>250</v>
      </c>
      <c r="T350" s="21">
        <f t="shared" si="29"/>
        <v>115</v>
      </c>
      <c r="U350" s="21">
        <f t="shared" si="30"/>
        <v>365</v>
      </c>
      <c r="V350" s="311">
        <f t="shared" si="31"/>
        <v>730</v>
      </c>
      <c r="W350" s="140">
        <f t="shared" si="32"/>
        <v>0</v>
      </c>
      <c r="X350" s="141">
        <f t="shared" si="33"/>
        <v>0</v>
      </c>
      <c r="Y350" s="141">
        <v>0</v>
      </c>
    </row>
    <row r="351" spans="1:26" ht="15" x14ac:dyDescent="0.2">
      <c r="A351" s="276" t="s">
        <v>1128</v>
      </c>
      <c r="B351" s="23" t="s">
        <v>328</v>
      </c>
      <c r="C351" s="32" t="s">
        <v>185</v>
      </c>
      <c r="D351" s="139" t="str">
        <f>VLOOKUP(C351,'Seznam HS - nemaš'!$A$1:$B$96,2,FALSE)</f>
        <v>430100</v>
      </c>
      <c r="E351" s="22" t="s">
        <v>1140</v>
      </c>
      <c r="F351" s="30" t="s">
        <v>612</v>
      </c>
      <c r="G351" s="30" t="s">
        <v>1141</v>
      </c>
      <c r="H351" s="28">
        <f>+IF(ISBLANK(I351),0,VLOOKUP(I351,'8Příloha_2_ceník_pravid_úklid'!$B$9:$C$30,2,0))</f>
        <v>3</v>
      </c>
      <c r="I351" s="143" t="s">
        <v>3</v>
      </c>
      <c r="J351" s="145">
        <v>15.16</v>
      </c>
      <c r="K351" s="275" t="s">
        <v>51</v>
      </c>
      <c r="L351" s="156" t="s">
        <v>22</v>
      </c>
      <c r="M351" s="22" t="s">
        <v>49</v>
      </c>
      <c r="N351" s="24">
        <f>IF((VLOOKUP(I351,'8Příloha_2_ceník_pravid_úklid'!$B$9:$I$30,8,0))=0,VLOOKUP(I351,'8Příloha_2_ceník_pravid_úklid'!$B$9:$K$30,10,0),VLOOKUP(I351,'8Příloha_2_ceník_pravid_úklid'!$B$9:$I$30,8,0))</f>
        <v>0</v>
      </c>
      <c r="O351" s="20">
        <v>2</v>
      </c>
      <c r="P351" s="20">
        <v>1</v>
      </c>
      <c r="Q351" s="20">
        <v>2</v>
      </c>
      <c r="R351" s="20">
        <v>1</v>
      </c>
      <c r="S351" s="21">
        <f>NETWORKDAYS.INTL(DATE(2018,1,1),DATE(2018,12,31),1,{"2018/1/1";"2018/3/30";"2018/4/2";"2018/5/1";"2018/5/8";"2018/7/5";"2018/7/6";"2018/09/28";"2018/11/17";"2018/12/24";"2018/12/25";"2018/12/26"})</f>
        <v>250</v>
      </c>
      <c r="T351" s="21">
        <f t="shared" si="29"/>
        <v>115</v>
      </c>
      <c r="U351" s="21">
        <f t="shared" si="30"/>
        <v>365</v>
      </c>
      <c r="V351" s="311">
        <f t="shared" si="31"/>
        <v>730</v>
      </c>
      <c r="W351" s="140">
        <f t="shared" si="32"/>
        <v>0</v>
      </c>
      <c r="X351" s="141">
        <f t="shared" si="33"/>
        <v>0</v>
      </c>
      <c r="Y351" s="141">
        <v>0</v>
      </c>
    </row>
    <row r="352" spans="1:26" ht="15" x14ac:dyDescent="0.2">
      <c r="A352" s="276" t="s">
        <v>1128</v>
      </c>
      <c r="B352" s="23" t="s">
        <v>328</v>
      </c>
      <c r="C352" s="32" t="s">
        <v>185</v>
      </c>
      <c r="D352" s="139" t="str">
        <f>VLOOKUP(C352,'Seznam HS - nemaš'!$A$1:$B$96,2,FALSE)</f>
        <v>430100</v>
      </c>
      <c r="E352" s="22" t="s">
        <v>1142</v>
      </c>
      <c r="F352" s="30" t="s">
        <v>567</v>
      </c>
      <c r="G352" s="30" t="s">
        <v>872</v>
      </c>
      <c r="H352" s="28">
        <f>+IF(ISBLANK(I352),0,VLOOKUP(I352,'8Příloha_2_ceník_pravid_úklid'!$B$9:$C$30,2,0))</f>
        <v>1</v>
      </c>
      <c r="I352" s="143" t="s">
        <v>78</v>
      </c>
      <c r="J352" s="145">
        <v>27.6</v>
      </c>
      <c r="K352" s="275" t="s">
        <v>51</v>
      </c>
      <c r="L352" s="156" t="s">
        <v>537</v>
      </c>
      <c r="M352" s="22" t="s">
        <v>49</v>
      </c>
      <c r="N352" s="24">
        <f>IF((VLOOKUP(I352,'8Příloha_2_ceník_pravid_úklid'!$B$9:$I$30,8,0))=0,VLOOKUP(I352,'8Příloha_2_ceník_pravid_úklid'!$B$9:$K$30,10,0),VLOOKUP(I352,'8Příloha_2_ceník_pravid_úklid'!$B$9:$I$30,8,0))</f>
        <v>0</v>
      </c>
      <c r="O352" s="20">
        <v>1</v>
      </c>
      <c r="P352" s="20">
        <v>1</v>
      </c>
      <c r="Q352" s="20">
        <v>1</v>
      </c>
      <c r="R352" s="20">
        <v>1</v>
      </c>
      <c r="S352" s="21">
        <f>NETWORKDAYS.INTL(DATE(2018,1,1),DATE(2018,12,31),1,{"2018/1/1";"2018/3/30";"2018/4/2";"2018/5/1";"2018/5/8";"2018/7/5";"2018/7/6";"2018/09/28";"2018/11/17";"2018/12/24";"2018/12/25";"2018/12/26"})</f>
        <v>250</v>
      </c>
      <c r="T352" s="21">
        <f t="shared" si="29"/>
        <v>115</v>
      </c>
      <c r="U352" s="21">
        <f t="shared" si="30"/>
        <v>365</v>
      </c>
      <c r="V352" s="311">
        <f t="shared" si="31"/>
        <v>365</v>
      </c>
      <c r="W352" s="140">
        <f t="shared" si="32"/>
        <v>0</v>
      </c>
      <c r="X352" s="141">
        <f t="shared" si="33"/>
        <v>0</v>
      </c>
      <c r="Y352" s="141">
        <v>0</v>
      </c>
    </row>
    <row r="353" spans="1:25" ht="15" x14ac:dyDescent="0.2">
      <c r="A353" s="276" t="s">
        <v>1128</v>
      </c>
      <c r="B353" s="23" t="s">
        <v>328</v>
      </c>
      <c r="C353" s="32" t="s">
        <v>185</v>
      </c>
      <c r="D353" s="139" t="str">
        <f>VLOOKUP(C353,'Seznam HS - nemaš'!$A$1:$B$96,2,FALSE)</f>
        <v>430100</v>
      </c>
      <c r="E353" s="22" t="s">
        <v>1143</v>
      </c>
      <c r="F353" s="30" t="s">
        <v>724</v>
      </c>
      <c r="G353" s="30"/>
      <c r="H353" s="28">
        <f>+IF(ISBLANK(I353),0,VLOOKUP(I353,'8Příloha_2_ceník_pravid_úklid'!$B$9:$C$30,2,0))</f>
        <v>7</v>
      </c>
      <c r="I353" s="143" t="s">
        <v>14</v>
      </c>
      <c r="J353" s="145">
        <v>3.45</v>
      </c>
      <c r="K353" s="275" t="s">
        <v>50</v>
      </c>
      <c r="L353" s="156" t="s">
        <v>22</v>
      </c>
      <c r="M353" s="22" t="s">
        <v>49</v>
      </c>
      <c r="N353" s="24">
        <f>IF((VLOOKUP(I353,'8Příloha_2_ceník_pravid_úklid'!$B$9:$I$30,8,0))=0,VLOOKUP(I353,'8Příloha_2_ceník_pravid_úklid'!$B$9:$K$30,10,0),VLOOKUP(I353,'8Příloha_2_ceník_pravid_úklid'!$B$9:$I$30,8,0))</f>
        <v>0</v>
      </c>
      <c r="O353" s="20">
        <v>2</v>
      </c>
      <c r="P353" s="20">
        <v>1</v>
      </c>
      <c r="Q353" s="20">
        <v>2</v>
      </c>
      <c r="R353" s="20">
        <v>1</v>
      </c>
      <c r="S353" s="21">
        <f>NETWORKDAYS.INTL(DATE(2018,1,1),DATE(2018,12,31),1,{"2018/1/1";"2018/3/30";"2018/4/2";"2018/5/1";"2018/5/8";"2018/7/5";"2018/7/6";"2018/09/28";"2018/11/17";"2018/12/24";"2018/12/25";"2018/12/26"})</f>
        <v>250</v>
      </c>
      <c r="T353" s="21">
        <f t="shared" si="29"/>
        <v>115</v>
      </c>
      <c r="U353" s="21">
        <f t="shared" si="30"/>
        <v>365</v>
      </c>
      <c r="V353" s="311">
        <f t="shared" si="31"/>
        <v>730</v>
      </c>
      <c r="W353" s="140">
        <f t="shared" si="32"/>
        <v>0</v>
      </c>
      <c r="X353" s="141">
        <f t="shared" si="33"/>
        <v>0</v>
      </c>
      <c r="Y353" s="141">
        <v>0</v>
      </c>
    </row>
    <row r="354" spans="1:25" ht="15" x14ac:dyDescent="0.2">
      <c r="A354" s="276" t="s">
        <v>1128</v>
      </c>
      <c r="B354" s="23" t="s">
        <v>328</v>
      </c>
      <c r="C354" s="32" t="s">
        <v>185</v>
      </c>
      <c r="D354" s="139" t="str">
        <f>VLOOKUP(C354,'Seznam HS - nemaš'!$A$1:$B$96,2,FALSE)</f>
        <v>430100</v>
      </c>
      <c r="E354" s="22" t="s">
        <v>1144</v>
      </c>
      <c r="F354" s="30" t="s">
        <v>567</v>
      </c>
      <c r="G354" s="30" t="s">
        <v>872</v>
      </c>
      <c r="H354" s="28">
        <f>+IF(ISBLANK(I354),0,VLOOKUP(I354,'8Příloha_2_ceník_pravid_úklid'!$B$9:$C$30,2,0))</f>
        <v>1</v>
      </c>
      <c r="I354" s="143" t="s">
        <v>78</v>
      </c>
      <c r="J354" s="145">
        <v>28.24</v>
      </c>
      <c r="K354" s="275" t="s">
        <v>51</v>
      </c>
      <c r="L354" s="156" t="s">
        <v>537</v>
      </c>
      <c r="M354" s="22" t="s">
        <v>49</v>
      </c>
      <c r="N354" s="24">
        <f>IF((VLOOKUP(I354,'8Příloha_2_ceník_pravid_úklid'!$B$9:$I$30,8,0))=0,VLOOKUP(I354,'8Příloha_2_ceník_pravid_úklid'!$B$9:$K$30,10,0),VLOOKUP(I354,'8Příloha_2_ceník_pravid_úklid'!$B$9:$I$30,8,0))</f>
        <v>0</v>
      </c>
      <c r="O354" s="20">
        <v>1</v>
      </c>
      <c r="P354" s="20">
        <v>1</v>
      </c>
      <c r="Q354" s="20">
        <v>1</v>
      </c>
      <c r="R354" s="20">
        <v>1</v>
      </c>
      <c r="S354" s="21">
        <f>NETWORKDAYS.INTL(DATE(2018,1,1),DATE(2018,12,31),1,{"2018/1/1";"2018/3/30";"2018/4/2";"2018/5/1";"2018/5/8";"2018/7/5";"2018/7/6";"2018/09/28";"2018/11/17";"2018/12/24";"2018/12/25";"2018/12/26"})</f>
        <v>250</v>
      </c>
      <c r="T354" s="21">
        <f t="shared" si="29"/>
        <v>115</v>
      </c>
      <c r="U354" s="21">
        <f t="shared" si="30"/>
        <v>365</v>
      </c>
      <c r="V354" s="311">
        <f t="shared" si="31"/>
        <v>365</v>
      </c>
      <c r="W354" s="140">
        <f t="shared" si="32"/>
        <v>0</v>
      </c>
      <c r="X354" s="141">
        <f t="shared" si="33"/>
        <v>0</v>
      </c>
      <c r="Y354" s="141">
        <v>0</v>
      </c>
    </row>
    <row r="355" spans="1:25" ht="15" x14ac:dyDescent="0.2">
      <c r="A355" s="276" t="s">
        <v>1128</v>
      </c>
      <c r="B355" s="23" t="s">
        <v>328</v>
      </c>
      <c r="C355" s="32" t="s">
        <v>185</v>
      </c>
      <c r="D355" s="139" t="str">
        <f>VLOOKUP(C355,'Seznam HS - nemaš'!$A$1:$B$96,2,FALSE)</f>
        <v>430100</v>
      </c>
      <c r="E355" s="22" t="s">
        <v>1145</v>
      </c>
      <c r="F355" s="30" t="s">
        <v>724</v>
      </c>
      <c r="G355" s="30"/>
      <c r="H355" s="28">
        <f>+IF(ISBLANK(I355),0,VLOOKUP(I355,'8Příloha_2_ceník_pravid_úklid'!$B$9:$C$30,2,0))</f>
        <v>7</v>
      </c>
      <c r="I355" s="143" t="s">
        <v>14</v>
      </c>
      <c r="J355" s="145">
        <v>3.36</v>
      </c>
      <c r="K355" s="275" t="s">
        <v>50</v>
      </c>
      <c r="L355" s="156" t="s">
        <v>22</v>
      </c>
      <c r="M355" s="22" t="s">
        <v>49</v>
      </c>
      <c r="N355" s="24">
        <f>IF((VLOOKUP(I355,'8Příloha_2_ceník_pravid_úklid'!$B$9:$I$30,8,0))=0,VLOOKUP(I355,'8Příloha_2_ceník_pravid_úklid'!$B$9:$K$30,10,0),VLOOKUP(I355,'8Příloha_2_ceník_pravid_úklid'!$B$9:$I$30,8,0))</f>
        <v>0</v>
      </c>
      <c r="O355" s="20">
        <v>2</v>
      </c>
      <c r="P355" s="20">
        <v>1</v>
      </c>
      <c r="Q355" s="20">
        <v>2</v>
      </c>
      <c r="R355" s="20">
        <v>1</v>
      </c>
      <c r="S355" s="21">
        <f>NETWORKDAYS.INTL(DATE(2018,1,1),DATE(2018,12,31),1,{"2018/1/1";"2018/3/30";"2018/4/2";"2018/5/1";"2018/5/8";"2018/7/5";"2018/7/6";"2018/09/28";"2018/11/17";"2018/12/24";"2018/12/25";"2018/12/26"})</f>
        <v>250</v>
      </c>
      <c r="T355" s="21">
        <f t="shared" si="29"/>
        <v>115</v>
      </c>
      <c r="U355" s="21">
        <f t="shared" si="30"/>
        <v>365</v>
      </c>
      <c r="V355" s="311">
        <f t="shared" si="31"/>
        <v>730</v>
      </c>
      <c r="W355" s="140">
        <f t="shared" si="32"/>
        <v>0</v>
      </c>
      <c r="X355" s="141">
        <f t="shared" si="33"/>
        <v>0</v>
      </c>
      <c r="Y355" s="141">
        <v>0</v>
      </c>
    </row>
    <row r="356" spans="1:25" ht="15" x14ac:dyDescent="0.2">
      <c r="A356" s="276" t="s">
        <v>1128</v>
      </c>
      <c r="B356" s="23" t="s">
        <v>328</v>
      </c>
      <c r="C356" s="32" t="s">
        <v>185</v>
      </c>
      <c r="D356" s="139" t="str">
        <f>VLOOKUP(C356,'Seznam HS - nemaš'!$A$1:$B$96,2,FALSE)</f>
        <v>430100</v>
      </c>
      <c r="E356" s="22" t="s">
        <v>1146</v>
      </c>
      <c r="F356" s="30" t="s">
        <v>567</v>
      </c>
      <c r="G356" s="30" t="s">
        <v>872</v>
      </c>
      <c r="H356" s="28">
        <f>+IF(ISBLANK(I356),0,VLOOKUP(I356,'8Příloha_2_ceník_pravid_úklid'!$B$9:$C$30,2,0))</f>
        <v>1</v>
      </c>
      <c r="I356" s="143" t="s">
        <v>78</v>
      </c>
      <c r="J356" s="145">
        <v>26.84</v>
      </c>
      <c r="K356" s="275" t="s">
        <v>51</v>
      </c>
      <c r="L356" s="156" t="s">
        <v>537</v>
      </c>
      <c r="M356" s="22" t="s">
        <v>49</v>
      </c>
      <c r="N356" s="24">
        <f>IF((VLOOKUP(I356,'8Příloha_2_ceník_pravid_úklid'!$B$9:$I$30,8,0))=0,VLOOKUP(I356,'8Příloha_2_ceník_pravid_úklid'!$B$9:$K$30,10,0),VLOOKUP(I356,'8Příloha_2_ceník_pravid_úklid'!$B$9:$I$30,8,0))</f>
        <v>0</v>
      </c>
      <c r="O356" s="20">
        <v>1</v>
      </c>
      <c r="P356" s="20">
        <v>1</v>
      </c>
      <c r="Q356" s="20">
        <v>1</v>
      </c>
      <c r="R356" s="20">
        <v>1</v>
      </c>
      <c r="S356" s="21">
        <f>NETWORKDAYS.INTL(DATE(2018,1,1),DATE(2018,12,31),1,{"2018/1/1";"2018/3/30";"2018/4/2";"2018/5/1";"2018/5/8";"2018/7/5";"2018/7/6";"2018/09/28";"2018/11/17";"2018/12/24";"2018/12/25";"2018/12/26"})</f>
        <v>250</v>
      </c>
      <c r="T356" s="21">
        <f t="shared" si="29"/>
        <v>115</v>
      </c>
      <c r="U356" s="21">
        <f t="shared" si="30"/>
        <v>365</v>
      </c>
      <c r="V356" s="311">
        <f t="shared" si="31"/>
        <v>365</v>
      </c>
      <c r="W356" s="140">
        <f t="shared" si="32"/>
        <v>0</v>
      </c>
      <c r="X356" s="141">
        <f t="shared" si="33"/>
        <v>0</v>
      </c>
      <c r="Y356" s="141">
        <v>0</v>
      </c>
    </row>
    <row r="357" spans="1:25" ht="15" x14ac:dyDescent="0.2">
      <c r="A357" s="276" t="s">
        <v>1128</v>
      </c>
      <c r="B357" s="23" t="s">
        <v>328</v>
      </c>
      <c r="C357" s="32" t="s">
        <v>185</v>
      </c>
      <c r="D357" s="139" t="str">
        <f>VLOOKUP(C357,'Seznam HS - nemaš'!$A$1:$B$96,2,FALSE)</f>
        <v>430100</v>
      </c>
      <c r="E357" s="22" t="s">
        <v>1147</v>
      </c>
      <c r="F357" s="30" t="s">
        <v>724</v>
      </c>
      <c r="G357" s="30"/>
      <c r="H357" s="28">
        <f>+IF(ISBLANK(I357),0,VLOOKUP(I357,'8Příloha_2_ceník_pravid_úklid'!$B$9:$C$30,2,0))</f>
        <v>7</v>
      </c>
      <c r="I357" s="143" t="s">
        <v>14</v>
      </c>
      <c r="J357" s="145">
        <v>3.39</v>
      </c>
      <c r="K357" s="275" t="s">
        <v>50</v>
      </c>
      <c r="L357" s="156" t="s">
        <v>22</v>
      </c>
      <c r="M357" s="22" t="s">
        <v>49</v>
      </c>
      <c r="N357" s="24">
        <f>IF((VLOOKUP(I357,'8Příloha_2_ceník_pravid_úklid'!$B$9:$I$30,8,0))=0,VLOOKUP(I357,'8Příloha_2_ceník_pravid_úklid'!$B$9:$K$30,10,0),VLOOKUP(I357,'8Příloha_2_ceník_pravid_úklid'!$B$9:$I$30,8,0))</f>
        <v>0</v>
      </c>
      <c r="O357" s="20">
        <v>2</v>
      </c>
      <c r="P357" s="20">
        <v>1</v>
      </c>
      <c r="Q357" s="20">
        <v>2</v>
      </c>
      <c r="R357" s="20">
        <v>1</v>
      </c>
      <c r="S357" s="21">
        <f>NETWORKDAYS.INTL(DATE(2018,1,1),DATE(2018,12,31),1,{"2018/1/1";"2018/3/30";"2018/4/2";"2018/5/1";"2018/5/8";"2018/7/5";"2018/7/6";"2018/09/28";"2018/11/17";"2018/12/24";"2018/12/25";"2018/12/26"})</f>
        <v>250</v>
      </c>
      <c r="T357" s="21">
        <f t="shared" si="29"/>
        <v>115</v>
      </c>
      <c r="U357" s="21">
        <f t="shared" si="30"/>
        <v>365</v>
      </c>
      <c r="V357" s="311">
        <f t="shared" si="31"/>
        <v>730</v>
      </c>
      <c r="W357" s="140">
        <f t="shared" si="32"/>
        <v>0</v>
      </c>
      <c r="X357" s="141">
        <f t="shared" si="33"/>
        <v>0</v>
      </c>
      <c r="Y357" s="141">
        <v>0</v>
      </c>
    </row>
    <row r="358" spans="1:25" ht="15" x14ac:dyDescent="0.2">
      <c r="A358" s="276" t="s">
        <v>1128</v>
      </c>
      <c r="B358" s="23" t="s">
        <v>328</v>
      </c>
      <c r="C358" s="32" t="s">
        <v>185</v>
      </c>
      <c r="D358" s="139" t="str">
        <f>VLOOKUP(C358,'Seznam HS - nemaš'!$A$1:$B$96,2,FALSE)</f>
        <v>430100</v>
      </c>
      <c r="E358" s="22" t="s">
        <v>1148</v>
      </c>
      <c r="F358" s="30" t="s">
        <v>53</v>
      </c>
      <c r="G358" s="30"/>
      <c r="H358" s="28">
        <f>+IF(ISBLANK(I358),0,VLOOKUP(I358,'8Příloha_2_ceník_pravid_úklid'!$B$9:$C$30,2,0))</f>
        <v>6</v>
      </c>
      <c r="I358" s="143" t="s">
        <v>1</v>
      </c>
      <c r="J358" s="145">
        <v>57.11</v>
      </c>
      <c r="K358" s="275" t="s">
        <v>51</v>
      </c>
      <c r="L358" s="156" t="s">
        <v>22</v>
      </c>
      <c r="M358" s="22" t="s">
        <v>49</v>
      </c>
      <c r="N358" s="24">
        <f>IF((VLOOKUP(I358,'8Příloha_2_ceník_pravid_úklid'!$B$9:$I$30,8,0))=0,VLOOKUP(I358,'8Příloha_2_ceník_pravid_úklid'!$B$9:$K$30,10,0),VLOOKUP(I358,'8Příloha_2_ceník_pravid_úklid'!$B$9:$I$30,8,0))</f>
        <v>0</v>
      </c>
      <c r="O358" s="20">
        <v>2</v>
      </c>
      <c r="P358" s="20">
        <v>1</v>
      </c>
      <c r="Q358" s="20">
        <v>2</v>
      </c>
      <c r="R358" s="20">
        <v>1</v>
      </c>
      <c r="S358" s="21">
        <f>NETWORKDAYS.INTL(DATE(2018,1,1),DATE(2018,12,31),1,{"2018/1/1";"2018/3/30";"2018/4/2";"2018/5/1";"2018/5/8";"2018/7/5";"2018/7/6";"2018/09/28";"2018/11/17";"2018/12/24";"2018/12/25";"2018/12/26"})</f>
        <v>250</v>
      </c>
      <c r="T358" s="21">
        <f t="shared" si="29"/>
        <v>115</v>
      </c>
      <c r="U358" s="21">
        <f t="shared" si="30"/>
        <v>365</v>
      </c>
      <c r="V358" s="311">
        <f t="shared" si="31"/>
        <v>730</v>
      </c>
      <c r="W358" s="140">
        <f t="shared" si="32"/>
        <v>0</v>
      </c>
      <c r="X358" s="141">
        <f t="shared" si="33"/>
        <v>0</v>
      </c>
      <c r="Y358" s="141">
        <v>0</v>
      </c>
    </row>
    <row r="359" spans="1:25" ht="15" x14ac:dyDescent="0.2">
      <c r="A359" s="276" t="s">
        <v>1128</v>
      </c>
      <c r="B359" s="23" t="s">
        <v>328</v>
      </c>
      <c r="C359" s="32" t="s">
        <v>185</v>
      </c>
      <c r="D359" s="139" t="str">
        <f>VLOOKUP(C359,'Seznam HS - nemaš'!$A$1:$B$96,2,FALSE)</f>
        <v>430100</v>
      </c>
      <c r="E359" s="22" t="s">
        <v>1149</v>
      </c>
      <c r="F359" s="30" t="s">
        <v>53</v>
      </c>
      <c r="G359" s="30"/>
      <c r="H359" s="28">
        <f>+IF(ISBLANK(I359),0,VLOOKUP(I359,'8Příloha_2_ceník_pravid_úklid'!$B$9:$C$30,2,0))</f>
        <v>6</v>
      </c>
      <c r="I359" s="143" t="s">
        <v>1</v>
      </c>
      <c r="J359" s="145">
        <v>47.18</v>
      </c>
      <c r="K359" s="275" t="s">
        <v>51</v>
      </c>
      <c r="L359" s="156" t="s">
        <v>22</v>
      </c>
      <c r="M359" s="22" t="s">
        <v>49</v>
      </c>
      <c r="N359" s="24">
        <f>IF((VLOOKUP(I359,'8Příloha_2_ceník_pravid_úklid'!$B$9:$I$30,8,0))=0,VLOOKUP(I359,'8Příloha_2_ceník_pravid_úklid'!$B$9:$K$30,10,0),VLOOKUP(I359,'8Příloha_2_ceník_pravid_úklid'!$B$9:$I$30,8,0))</f>
        <v>0</v>
      </c>
      <c r="O359" s="20">
        <v>2</v>
      </c>
      <c r="P359" s="20">
        <v>1</v>
      </c>
      <c r="Q359" s="20">
        <v>2</v>
      </c>
      <c r="R359" s="20">
        <v>1</v>
      </c>
      <c r="S359" s="21">
        <f>NETWORKDAYS.INTL(DATE(2018,1,1),DATE(2018,12,31),1,{"2018/1/1";"2018/3/30";"2018/4/2";"2018/5/1";"2018/5/8";"2018/7/5";"2018/7/6";"2018/09/28";"2018/11/17";"2018/12/24";"2018/12/25";"2018/12/26"})</f>
        <v>250</v>
      </c>
      <c r="T359" s="21">
        <f t="shared" si="29"/>
        <v>115</v>
      </c>
      <c r="U359" s="21">
        <f t="shared" si="30"/>
        <v>365</v>
      </c>
      <c r="V359" s="311">
        <f t="shared" si="31"/>
        <v>730</v>
      </c>
      <c r="W359" s="140">
        <f t="shared" si="32"/>
        <v>0</v>
      </c>
      <c r="X359" s="141">
        <f t="shared" si="33"/>
        <v>0</v>
      </c>
      <c r="Y359" s="141">
        <v>0</v>
      </c>
    </row>
    <row r="360" spans="1:25" ht="15" x14ac:dyDescent="0.2">
      <c r="A360" s="276" t="s">
        <v>1128</v>
      </c>
      <c r="B360" s="23" t="s">
        <v>328</v>
      </c>
      <c r="C360" s="32" t="s">
        <v>185</v>
      </c>
      <c r="D360" s="139" t="str">
        <f>VLOOKUP(C360,'Seznam HS - nemaš'!$A$1:$B$96,2,FALSE)</f>
        <v>430100</v>
      </c>
      <c r="E360" s="22" t="s">
        <v>1150</v>
      </c>
      <c r="F360" s="30" t="s">
        <v>633</v>
      </c>
      <c r="G360" s="30"/>
      <c r="H360" s="28">
        <f>+IF(ISBLANK(I360),0,VLOOKUP(I360,'8Příloha_2_ceník_pravid_úklid'!$B$9:$C$30,2,0))</f>
        <v>4</v>
      </c>
      <c r="I360" s="143" t="s">
        <v>9</v>
      </c>
      <c r="J360" s="145">
        <v>8.7100000000000009</v>
      </c>
      <c r="K360" s="275" t="s">
        <v>51</v>
      </c>
      <c r="L360" s="156" t="s">
        <v>21</v>
      </c>
      <c r="M360" s="22" t="s">
        <v>49</v>
      </c>
      <c r="N360" s="24">
        <f>IF((VLOOKUP(I360,'8Příloha_2_ceník_pravid_úklid'!$B$9:$I$30,8,0))=0,VLOOKUP(I360,'8Příloha_2_ceník_pravid_úklid'!$B$9:$K$30,10,0),VLOOKUP(I360,'8Příloha_2_ceník_pravid_úklid'!$B$9:$I$30,8,0))</f>
        <v>0</v>
      </c>
      <c r="O360" s="20">
        <v>1</v>
      </c>
      <c r="P360" s="20">
        <v>1</v>
      </c>
      <c r="Q360" s="20">
        <v>0</v>
      </c>
      <c r="R360" s="20">
        <v>0</v>
      </c>
      <c r="S360" s="21">
        <f>NETWORKDAYS.INTL(DATE(2018,1,1),DATE(2018,12,31),1,{"2018/1/1";"2018/3/30";"2018/4/2";"2018/5/1";"2018/5/8";"2018/7/5";"2018/7/6";"2018/09/28";"2018/11/17";"2018/12/24";"2018/12/25";"2018/12/26"})</f>
        <v>250</v>
      </c>
      <c r="T360" s="21">
        <f t="shared" si="29"/>
        <v>115</v>
      </c>
      <c r="U360" s="21">
        <f t="shared" si="30"/>
        <v>365</v>
      </c>
      <c r="V360" s="311">
        <f t="shared" si="31"/>
        <v>250</v>
      </c>
      <c r="W360" s="140">
        <f t="shared" si="32"/>
        <v>0</v>
      </c>
      <c r="X360" s="141">
        <f t="shared" si="33"/>
        <v>0</v>
      </c>
      <c r="Y360" s="141">
        <v>0</v>
      </c>
    </row>
    <row r="361" spans="1:25" ht="15" x14ac:dyDescent="0.2">
      <c r="A361" s="276" t="s">
        <v>1128</v>
      </c>
      <c r="B361" s="23" t="s">
        <v>328</v>
      </c>
      <c r="C361" s="32" t="s">
        <v>185</v>
      </c>
      <c r="D361" s="139" t="str">
        <f>VLOOKUP(C361,'Seznam HS - nemaš'!$A$1:$B$96,2,FALSE)</f>
        <v>430100</v>
      </c>
      <c r="E361" s="22" t="s">
        <v>1151</v>
      </c>
      <c r="F361" s="30" t="s">
        <v>492</v>
      </c>
      <c r="G361" s="30"/>
      <c r="H361" s="28">
        <f>+IF(ISBLANK(I361),0,VLOOKUP(I361,'8Příloha_2_ceník_pravid_úklid'!$B$9:$C$30,2,0))</f>
        <v>4</v>
      </c>
      <c r="I361" s="143" t="s">
        <v>9</v>
      </c>
      <c r="J361" s="145">
        <v>9.6999999999999993</v>
      </c>
      <c r="K361" s="275" t="s">
        <v>51</v>
      </c>
      <c r="L361" s="156" t="s">
        <v>22</v>
      </c>
      <c r="M361" s="22" t="s">
        <v>49</v>
      </c>
      <c r="N361" s="24">
        <f>IF((VLOOKUP(I361,'8Příloha_2_ceník_pravid_úklid'!$B$9:$I$30,8,0))=0,VLOOKUP(I361,'8Příloha_2_ceník_pravid_úklid'!$B$9:$K$30,10,0),VLOOKUP(I361,'8Příloha_2_ceník_pravid_úklid'!$B$9:$I$30,8,0))</f>
        <v>0</v>
      </c>
      <c r="O361" s="20">
        <v>2</v>
      </c>
      <c r="P361" s="20">
        <v>1</v>
      </c>
      <c r="Q361" s="20">
        <v>2</v>
      </c>
      <c r="R361" s="20">
        <v>1</v>
      </c>
      <c r="S361" s="21">
        <f>NETWORKDAYS.INTL(DATE(2018,1,1),DATE(2018,12,31),1,{"2018/1/1";"2018/3/30";"2018/4/2";"2018/5/1";"2018/5/8";"2018/7/5";"2018/7/6";"2018/09/28";"2018/11/17";"2018/12/24";"2018/12/25";"2018/12/26"})</f>
        <v>250</v>
      </c>
      <c r="T361" s="21">
        <f t="shared" si="29"/>
        <v>115</v>
      </c>
      <c r="U361" s="21">
        <f t="shared" si="30"/>
        <v>365</v>
      </c>
      <c r="V361" s="311">
        <f t="shared" si="31"/>
        <v>730</v>
      </c>
      <c r="W361" s="140">
        <f t="shared" si="32"/>
        <v>0</v>
      </c>
      <c r="X361" s="141">
        <f t="shared" si="33"/>
        <v>0</v>
      </c>
      <c r="Y361" s="141">
        <v>0</v>
      </c>
    </row>
    <row r="362" spans="1:25" ht="15" x14ac:dyDescent="0.2">
      <c r="A362" s="276" t="s">
        <v>1128</v>
      </c>
      <c r="B362" s="23" t="s">
        <v>328</v>
      </c>
      <c r="C362" s="32" t="s">
        <v>185</v>
      </c>
      <c r="D362" s="139" t="str">
        <f>VLOOKUP(C362,'Seznam HS - nemaš'!$A$1:$B$96,2,FALSE)</f>
        <v>430100</v>
      </c>
      <c r="E362" s="22" t="s">
        <v>1152</v>
      </c>
      <c r="F362" s="30" t="s">
        <v>561</v>
      </c>
      <c r="G362" s="30"/>
      <c r="H362" s="28">
        <f>+IF(ISBLANK(I362),0,VLOOKUP(I362,'8Příloha_2_ceník_pravid_úklid'!$B$9:$C$30,2,0))</f>
        <v>7</v>
      </c>
      <c r="I362" s="143" t="s">
        <v>14</v>
      </c>
      <c r="J362" s="145">
        <v>9.27</v>
      </c>
      <c r="K362" s="275" t="s">
        <v>50</v>
      </c>
      <c r="L362" s="156" t="s">
        <v>22</v>
      </c>
      <c r="M362" s="22" t="s">
        <v>49</v>
      </c>
      <c r="N362" s="24">
        <f>IF((VLOOKUP(I362,'8Příloha_2_ceník_pravid_úklid'!$B$9:$I$30,8,0))=0,VLOOKUP(I362,'8Příloha_2_ceník_pravid_úklid'!$B$9:$K$30,10,0),VLOOKUP(I362,'8Příloha_2_ceník_pravid_úklid'!$B$9:$I$30,8,0))</f>
        <v>0</v>
      </c>
      <c r="O362" s="20">
        <v>2</v>
      </c>
      <c r="P362" s="20">
        <v>1</v>
      </c>
      <c r="Q362" s="20">
        <v>2</v>
      </c>
      <c r="R362" s="20">
        <v>1</v>
      </c>
      <c r="S362" s="21">
        <f>NETWORKDAYS.INTL(DATE(2018,1,1),DATE(2018,12,31),1,{"2018/1/1";"2018/3/30";"2018/4/2";"2018/5/1";"2018/5/8";"2018/7/5";"2018/7/6";"2018/09/28";"2018/11/17";"2018/12/24";"2018/12/25";"2018/12/26"})</f>
        <v>250</v>
      </c>
      <c r="T362" s="21">
        <f t="shared" si="29"/>
        <v>115</v>
      </c>
      <c r="U362" s="21">
        <f t="shared" si="30"/>
        <v>365</v>
      </c>
      <c r="V362" s="311">
        <f t="shared" si="31"/>
        <v>730</v>
      </c>
      <c r="W362" s="140">
        <f t="shared" si="32"/>
        <v>0</v>
      </c>
      <c r="X362" s="141">
        <f t="shared" si="33"/>
        <v>0</v>
      </c>
      <c r="Y362" s="141">
        <v>0</v>
      </c>
    </row>
    <row r="363" spans="1:25" ht="15" x14ac:dyDescent="0.2">
      <c r="A363" s="276" t="s">
        <v>1128</v>
      </c>
      <c r="B363" s="23" t="s">
        <v>328</v>
      </c>
      <c r="C363" s="32" t="s">
        <v>185</v>
      </c>
      <c r="D363" s="139" t="str">
        <f>VLOOKUP(C363,'Seznam HS - nemaš'!$A$1:$B$96,2,FALSE)</f>
        <v>430100</v>
      </c>
      <c r="E363" s="22" t="s">
        <v>1153</v>
      </c>
      <c r="F363" s="30" t="s">
        <v>389</v>
      </c>
      <c r="G363" s="30"/>
      <c r="H363" s="28">
        <f>+IF(ISBLANK(I363),0,VLOOKUP(I363,'8Příloha_2_ceník_pravid_úklid'!$B$9:$C$30,2,0))</f>
        <v>17</v>
      </c>
      <c r="I363" s="143" t="s">
        <v>13</v>
      </c>
      <c r="J363" s="145">
        <v>4.38</v>
      </c>
      <c r="K363" s="275" t="s">
        <v>51</v>
      </c>
      <c r="L363" s="156" t="s">
        <v>537</v>
      </c>
      <c r="M363" s="22" t="s">
        <v>49</v>
      </c>
      <c r="N363" s="24">
        <f>IF((VLOOKUP(I363,'8Příloha_2_ceník_pravid_úklid'!$B$9:$I$30,8,0))=0,VLOOKUP(I363,'8Příloha_2_ceník_pravid_úklid'!$B$9:$K$30,10,0),VLOOKUP(I363,'8Příloha_2_ceník_pravid_úklid'!$B$9:$I$30,8,0))</f>
        <v>0</v>
      </c>
      <c r="O363" s="20">
        <v>1</v>
      </c>
      <c r="P363" s="20">
        <v>1</v>
      </c>
      <c r="Q363" s="20">
        <v>1</v>
      </c>
      <c r="R363" s="20">
        <v>1</v>
      </c>
      <c r="S363" s="21">
        <f>NETWORKDAYS.INTL(DATE(2018,1,1),DATE(2018,12,31),1,{"2018/1/1";"2018/3/30";"2018/4/2";"2018/5/1";"2018/5/8";"2018/7/5";"2018/7/6";"2018/09/28";"2018/11/17";"2018/12/24";"2018/12/25";"2018/12/26"})</f>
        <v>250</v>
      </c>
      <c r="T363" s="21">
        <f t="shared" si="29"/>
        <v>115</v>
      </c>
      <c r="U363" s="21">
        <f t="shared" si="30"/>
        <v>365</v>
      </c>
      <c r="V363" s="311">
        <f t="shared" si="31"/>
        <v>365</v>
      </c>
      <c r="W363" s="140">
        <f t="shared" si="32"/>
        <v>0</v>
      </c>
      <c r="X363" s="141">
        <f t="shared" si="33"/>
        <v>0</v>
      </c>
      <c r="Y363" s="141">
        <v>0</v>
      </c>
    </row>
    <row r="364" spans="1:25" ht="15" x14ac:dyDescent="0.2">
      <c r="A364" s="276" t="s">
        <v>1128</v>
      </c>
      <c r="B364" s="23" t="s">
        <v>328</v>
      </c>
      <c r="C364" s="32" t="s">
        <v>185</v>
      </c>
      <c r="D364" s="139" t="str">
        <f>VLOOKUP(C364,'Seznam HS - nemaš'!$A$1:$B$96,2,FALSE)</f>
        <v>430100</v>
      </c>
      <c r="E364" s="22" t="s">
        <v>1154</v>
      </c>
      <c r="F364" s="30" t="s">
        <v>389</v>
      </c>
      <c r="G364" s="30"/>
      <c r="H364" s="28">
        <f>+IF(ISBLANK(I364),0,VLOOKUP(I364,'8Příloha_2_ceník_pravid_úklid'!$B$9:$C$30,2,0))</f>
        <v>17</v>
      </c>
      <c r="I364" s="143" t="s">
        <v>13</v>
      </c>
      <c r="J364" s="145">
        <v>4.38</v>
      </c>
      <c r="K364" s="275" t="s">
        <v>51</v>
      </c>
      <c r="L364" s="156" t="s">
        <v>537</v>
      </c>
      <c r="M364" s="22" t="s">
        <v>49</v>
      </c>
      <c r="N364" s="24">
        <f>IF((VLOOKUP(I364,'8Příloha_2_ceník_pravid_úklid'!$B$9:$I$30,8,0))=0,VLOOKUP(I364,'8Příloha_2_ceník_pravid_úklid'!$B$9:$K$30,10,0),VLOOKUP(I364,'8Příloha_2_ceník_pravid_úklid'!$B$9:$I$30,8,0))</f>
        <v>0</v>
      </c>
      <c r="O364" s="20">
        <v>1</v>
      </c>
      <c r="P364" s="20">
        <v>1</v>
      </c>
      <c r="Q364" s="20">
        <v>1</v>
      </c>
      <c r="R364" s="20">
        <v>1</v>
      </c>
      <c r="S364" s="21">
        <f>NETWORKDAYS.INTL(DATE(2018,1,1),DATE(2018,12,31),1,{"2018/1/1";"2018/3/30";"2018/4/2";"2018/5/1";"2018/5/8";"2018/7/5";"2018/7/6";"2018/09/28";"2018/11/17";"2018/12/24";"2018/12/25";"2018/12/26"})</f>
        <v>250</v>
      </c>
      <c r="T364" s="21">
        <f t="shared" si="29"/>
        <v>115</v>
      </c>
      <c r="U364" s="21">
        <f t="shared" si="30"/>
        <v>365</v>
      </c>
      <c r="V364" s="311">
        <f t="shared" si="31"/>
        <v>365</v>
      </c>
      <c r="W364" s="140">
        <f t="shared" si="32"/>
        <v>0</v>
      </c>
      <c r="X364" s="141">
        <f t="shared" si="33"/>
        <v>0</v>
      </c>
      <c r="Y364" s="141">
        <v>0</v>
      </c>
    </row>
    <row r="365" spans="1:25" ht="15" x14ac:dyDescent="0.2">
      <c r="A365" s="276" t="s">
        <v>1128</v>
      </c>
      <c r="B365" s="23" t="s">
        <v>328</v>
      </c>
      <c r="C365" s="32" t="s">
        <v>185</v>
      </c>
      <c r="D365" s="139" t="str">
        <f>VLOOKUP(C365,'Seznam HS - nemaš'!$A$1:$B$96,2,FALSE)</f>
        <v>430100</v>
      </c>
      <c r="E365" s="22" t="s">
        <v>1155</v>
      </c>
      <c r="F365" s="30" t="s">
        <v>893</v>
      </c>
      <c r="G365" s="30"/>
      <c r="H365" s="28">
        <f>+IF(ISBLANK(I365),0,VLOOKUP(I365,'8Příloha_2_ceník_pravid_úklid'!$B$9:$C$30,2,0))</f>
        <v>7</v>
      </c>
      <c r="I365" s="143" t="s">
        <v>14</v>
      </c>
      <c r="J365" s="145">
        <v>5.39</v>
      </c>
      <c r="K365" s="275" t="s">
        <v>50</v>
      </c>
      <c r="L365" s="156" t="s">
        <v>22</v>
      </c>
      <c r="M365" s="22" t="s">
        <v>49</v>
      </c>
      <c r="N365" s="24">
        <f>IF((VLOOKUP(I365,'8Příloha_2_ceník_pravid_úklid'!$B$9:$I$30,8,0))=0,VLOOKUP(I365,'8Příloha_2_ceník_pravid_úklid'!$B$9:$K$30,10,0),VLOOKUP(I365,'8Příloha_2_ceník_pravid_úklid'!$B$9:$I$30,8,0))</f>
        <v>0</v>
      </c>
      <c r="O365" s="20">
        <v>2</v>
      </c>
      <c r="P365" s="20">
        <v>1</v>
      </c>
      <c r="Q365" s="20">
        <v>2</v>
      </c>
      <c r="R365" s="20">
        <v>1</v>
      </c>
      <c r="S365" s="21">
        <f>NETWORKDAYS.INTL(DATE(2018,1,1),DATE(2018,12,31),1,{"2018/1/1";"2018/3/30";"2018/4/2";"2018/5/1";"2018/5/8";"2018/7/5";"2018/7/6";"2018/09/28";"2018/11/17";"2018/12/24";"2018/12/25";"2018/12/26"})</f>
        <v>250</v>
      </c>
      <c r="T365" s="21">
        <f t="shared" si="29"/>
        <v>115</v>
      </c>
      <c r="U365" s="21">
        <f t="shared" si="30"/>
        <v>365</v>
      </c>
      <c r="V365" s="311">
        <f t="shared" si="31"/>
        <v>730</v>
      </c>
      <c r="W365" s="140">
        <f t="shared" si="32"/>
        <v>0</v>
      </c>
      <c r="X365" s="141">
        <f t="shared" si="33"/>
        <v>0</v>
      </c>
      <c r="Y365" s="141">
        <v>0</v>
      </c>
    </row>
    <row r="366" spans="1:25" ht="15" x14ac:dyDescent="0.2">
      <c r="A366" s="276" t="s">
        <v>1128</v>
      </c>
      <c r="B366" s="23" t="s">
        <v>328</v>
      </c>
      <c r="C366" s="32" t="s">
        <v>185</v>
      </c>
      <c r="D366" s="139" t="str">
        <f>VLOOKUP(C366,'Seznam HS - nemaš'!$A$1:$B$96,2,FALSE)</f>
        <v>430100</v>
      </c>
      <c r="E366" s="22" t="s">
        <v>1156</v>
      </c>
      <c r="F366" s="30" t="s">
        <v>437</v>
      </c>
      <c r="G366" s="30" t="s">
        <v>444</v>
      </c>
      <c r="H366" s="28">
        <f>+IF(ISBLANK(I366),0,VLOOKUP(I366,'8Příloha_2_ceník_pravid_úklid'!$B$9:$C$30,2,0))</f>
        <v>7</v>
      </c>
      <c r="I366" s="143" t="s">
        <v>14</v>
      </c>
      <c r="J366" s="145">
        <v>4.3899999999999997</v>
      </c>
      <c r="K366" s="275" t="s">
        <v>50</v>
      </c>
      <c r="L366" s="156" t="s">
        <v>22</v>
      </c>
      <c r="M366" s="22" t="s">
        <v>49</v>
      </c>
      <c r="N366" s="24">
        <f>IF((VLOOKUP(I366,'8Příloha_2_ceník_pravid_úklid'!$B$9:$I$30,8,0))=0,VLOOKUP(I366,'8Příloha_2_ceník_pravid_úklid'!$B$9:$K$30,10,0),VLOOKUP(I366,'8Příloha_2_ceník_pravid_úklid'!$B$9:$I$30,8,0))</f>
        <v>0</v>
      </c>
      <c r="O366" s="20">
        <v>2</v>
      </c>
      <c r="P366" s="20">
        <v>1</v>
      </c>
      <c r="Q366" s="20">
        <v>2</v>
      </c>
      <c r="R366" s="20">
        <v>1</v>
      </c>
      <c r="S366" s="21">
        <f>NETWORKDAYS.INTL(DATE(2018,1,1),DATE(2018,12,31),1,{"2018/1/1";"2018/3/30";"2018/4/2";"2018/5/1";"2018/5/8";"2018/7/5";"2018/7/6";"2018/09/28";"2018/11/17";"2018/12/24";"2018/12/25";"2018/12/26"})</f>
        <v>250</v>
      </c>
      <c r="T366" s="21">
        <f t="shared" si="29"/>
        <v>115</v>
      </c>
      <c r="U366" s="21">
        <f t="shared" si="30"/>
        <v>365</v>
      </c>
      <c r="V366" s="311">
        <f t="shared" si="31"/>
        <v>730</v>
      </c>
      <c r="W366" s="140">
        <f t="shared" si="32"/>
        <v>0</v>
      </c>
      <c r="X366" s="141">
        <f t="shared" si="33"/>
        <v>0</v>
      </c>
      <c r="Y366" s="141">
        <v>0</v>
      </c>
    </row>
    <row r="367" spans="1:25" ht="15" x14ac:dyDescent="0.2">
      <c r="A367" s="276" t="s">
        <v>1128</v>
      </c>
      <c r="B367" s="23" t="s">
        <v>328</v>
      </c>
      <c r="C367" s="32" t="s">
        <v>185</v>
      </c>
      <c r="D367" s="139" t="str">
        <f>VLOOKUP(C367,'Seznam HS - nemaš'!$A$1:$B$96,2,FALSE)</f>
        <v>430100</v>
      </c>
      <c r="E367" s="22" t="s">
        <v>1157</v>
      </c>
      <c r="F367" s="30" t="s">
        <v>437</v>
      </c>
      <c r="G367" s="30"/>
      <c r="H367" s="28">
        <f>+IF(ISBLANK(I367),0,VLOOKUP(I367,'8Příloha_2_ceník_pravid_úklid'!$B$9:$C$30,2,0))</f>
        <v>7</v>
      </c>
      <c r="I367" s="143" t="s">
        <v>14</v>
      </c>
      <c r="J367" s="145">
        <v>1.52</v>
      </c>
      <c r="K367" s="275" t="s">
        <v>50</v>
      </c>
      <c r="L367" s="156" t="s">
        <v>22</v>
      </c>
      <c r="M367" s="22" t="s">
        <v>49</v>
      </c>
      <c r="N367" s="24">
        <f>IF((VLOOKUP(I367,'8Příloha_2_ceník_pravid_úklid'!$B$9:$I$30,8,0))=0,VLOOKUP(I367,'8Příloha_2_ceník_pravid_úklid'!$B$9:$K$30,10,0),VLOOKUP(I367,'8Příloha_2_ceník_pravid_úklid'!$B$9:$I$30,8,0))</f>
        <v>0</v>
      </c>
      <c r="O367" s="20">
        <v>2</v>
      </c>
      <c r="P367" s="20">
        <v>1</v>
      </c>
      <c r="Q367" s="20">
        <v>2</v>
      </c>
      <c r="R367" s="20">
        <v>1</v>
      </c>
      <c r="S367" s="21">
        <f>NETWORKDAYS.INTL(DATE(2018,1,1),DATE(2018,12,31),1,{"2018/1/1";"2018/3/30";"2018/4/2";"2018/5/1";"2018/5/8";"2018/7/5";"2018/7/6";"2018/09/28";"2018/11/17";"2018/12/24";"2018/12/25";"2018/12/26"})</f>
        <v>250</v>
      </c>
      <c r="T367" s="21">
        <f t="shared" si="29"/>
        <v>115</v>
      </c>
      <c r="U367" s="21">
        <f t="shared" si="30"/>
        <v>365</v>
      </c>
      <c r="V367" s="311">
        <f t="shared" si="31"/>
        <v>730</v>
      </c>
      <c r="W367" s="140">
        <f t="shared" si="32"/>
        <v>0</v>
      </c>
      <c r="X367" s="141">
        <f t="shared" si="33"/>
        <v>0</v>
      </c>
      <c r="Y367" s="141">
        <v>0</v>
      </c>
    </row>
    <row r="368" spans="1:25" ht="15" x14ac:dyDescent="0.2">
      <c r="A368" s="235" t="s">
        <v>1128</v>
      </c>
      <c r="B368" s="236" t="s">
        <v>328</v>
      </c>
      <c r="C368" s="222" t="s">
        <v>185</v>
      </c>
      <c r="D368" s="535" t="str">
        <f>VLOOKUP(C368,'Seznam HS - nemaš'!$A$1:$B$96,2,FALSE)</f>
        <v>430100</v>
      </c>
      <c r="E368" s="237" t="s">
        <v>1158</v>
      </c>
      <c r="F368" s="303" t="s">
        <v>554</v>
      </c>
      <c r="G368" s="303"/>
      <c r="H368" s="224">
        <f>+IF(ISBLANK(I368),0,VLOOKUP(I368,'8Příloha_2_ceník_pravid_úklid'!$B$9:$C$30,2,0))</f>
        <v>0</v>
      </c>
      <c r="I368" s="273"/>
      <c r="J368" s="241">
        <v>1.9</v>
      </c>
      <c r="K368" s="240" t="s">
        <v>50</v>
      </c>
      <c r="L368" s="310" t="s">
        <v>66</v>
      </c>
      <c r="M368" s="237" t="s">
        <v>49</v>
      </c>
      <c r="N368" s="229" t="s">
        <v>501</v>
      </c>
      <c r="O368" s="230">
        <v>0</v>
      </c>
      <c r="P368" s="230">
        <v>0</v>
      </c>
      <c r="Q368" s="230">
        <v>0</v>
      </c>
      <c r="R368" s="230">
        <v>0</v>
      </c>
      <c r="S368" s="231">
        <f>NETWORKDAYS.INTL(DATE(2018,1,1),DATE(2018,12,31),1,{"2018/1/1";"2018/3/30";"2018/4/2";"2018/5/1";"2018/5/8";"2018/7/5";"2018/7/6";"2018/09/28";"2018/11/17";"2018/12/24";"2018/12/25";"2018/12/26"})</f>
        <v>250</v>
      </c>
      <c r="T368" s="231">
        <f t="shared" si="29"/>
        <v>115</v>
      </c>
      <c r="U368" s="231">
        <f t="shared" si="30"/>
        <v>365</v>
      </c>
      <c r="V368" s="312">
        <f t="shared" si="31"/>
        <v>0</v>
      </c>
      <c r="W368" s="233">
        <f t="shared" si="32"/>
        <v>0</v>
      </c>
      <c r="X368" s="234">
        <f t="shared" si="33"/>
        <v>0</v>
      </c>
      <c r="Y368" s="234">
        <f t="shared" si="33"/>
        <v>0</v>
      </c>
    </row>
    <row r="369" spans="1:25" ht="15" x14ac:dyDescent="0.2">
      <c r="A369" s="276" t="s">
        <v>1128</v>
      </c>
      <c r="B369" s="23" t="s">
        <v>328</v>
      </c>
      <c r="C369" s="32" t="s">
        <v>185</v>
      </c>
      <c r="D369" s="139" t="str">
        <f>VLOOKUP(C369,'Seznam HS - nemaš'!$A$1:$B$96,2,FALSE)</f>
        <v>430100</v>
      </c>
      <c r="E369" s="22" t="s">
        <v>1159</v>
      </c>
      <c r="F369" s="30" t="s">
        <v>437</v>
      </c>
      <c r="G369" s="30" t="s">
        <v>1160</v>
      </c>
      <c r="H369" s="28">
        <f>+IF(ISBLANK(I369),0,VLOOKUP(I369,'8Příloha_2_ceník_pravid_úklid'!$B$9:$C$30,2,0))</f>
        <v>7</v>
      </c>
      <c r="I369" s="143" t="s">
        <v>14</v>
      </c>
      <c r="J369" s="145">
        <v>2.57</v>
      </c>
      <c r="K369" s="275" t="s">
        <v>50</v>
      </c>
      <c r="L369" s="156" t="s">
        <v>22</v>
      </c>
      <c r="M369" s="22" t="s">
        <v>49</v>
      </c>
      <c r="N369" s="24">
        <f>IF((VLOOKUP(I369,'8Příloha_2_ceník_pravid_úklid'!$B$9:$I$30,8,0))=0,VLOOKUP(I369,'8Příloha_2_ceník_pravid_úklid'!$B$9:$K$30,10,0),VLOOKUP(I369,'8Příloha_2_ceník_pravid_úklid'!$B$9:$I$30,8,0))</f>
        <v>0</v>
      </c>
      <c r="O369" s="20">
        <v>2</v>
      </c>
      <c r="P369" s="20">
        <v>1</v>
      </c>
      <c r="Q369" s="20">
        <v>2</v>
      </c>
      <c r="R369" s="20">
        <v>1</v>
      </c>
      <c r="S369" s="21">
        <f>NETWORKDAYS.INTL(DATE(2018,1,1),DATE(2018,12,31),1,{"2018/1/1";"2018/3/30";"2018/4/2";"2018/5/1";"2018/5/8";"2018/7/5";"2018/7/6";"2018/09/28";"2018/11/17";"2018/12/24";"2018/12/25";"2018/12/26"})</f>
        <v>250</v>
      </c>
      <c r="T369" s="21">
        <f t="shared" si="29"/>
        <v>115</v>
      </c>
      <c r="U369" s="21">
        <f t="shared" si="30"/>
        <v>365</v>
      </c>
      <c r="V369" s="311">
        <f t="shared" si="31"/>
        <v>730</v>
      </c>
      <c r="W369" s="140">
        <f t="shared" si="32"/>
        <v>0</v>
      </c>
      <c r="X369" s="141">
        <f t="shared" si="33"/>
        <v>0</v>
      </c>
      <c r="Y369" s="141">
        <v>0</v>
      </c>
    </row>
    <row r="370" spans="1:25" ht="15" x14ac:dyDescent="0.2">
      <c r="A370" s="276" t="s">
        <v>1128</v>
      </c>
      <c r="B370" s="23" t="s">
        <v>328</v>
      </c>
      <c r="C370" s="32" t="s">
        <v>185</v>
      </c>
      <c r="D370" s="139" t="str">
        <f>VLOOKUP(C370,'Seznam HS - nemaš'!$A$1:$B$96,2,FALSE)</f>
        <v>430100</v>
      </c>
      <c r="E370" s="22" t="s">
        <v>1161</v>
      </c>
      <c r="F370" s="30" t="s">
        <v>552</v>
      </c>
      <c r="G370" s="30"/>
      <c r="H370" s="28">
        <f>+IF(ISBLANK(I370),0,VLOOKUP(I370,'8Příloha_2_ceník_pravid_úklid'!$B$9:$C$30,2,0))</f>
        <v>16</v>
      </c>
      <c r="I370" s="143" t="s">
        <v>6</v>
      </c>
      <c r="J370" s="145">
        <v>5.95</v>
      </c>
      <c r="K370" s="275" t="s">
        <v>51</v>
      </c>
      <c r="L370" s="156" t="s">
        <v>22</v>
      </c>
      <c r="M370" s="22" t="s">
        <v>49</v>
      </c>
      <c r="N370" s="24">
        <f>IF((VLOOKUP(I370,'8Příloha_2_ceník_pravid_úklid'!$B$9:$I$30,8,0))=0,VLOOKUP(I370,'8Příloha_2_ceník_pravid_úklid'!$B$9:$K$30,10,0),VLOOKUP(I370,'8Příloha_2_ceník_pravid_úklid'!$B$9:$I$30,8,0))</f>
        <v>0</v>
      </c>
      <c r="O370" s="20">
        <v>2</v>
      </c>
      <c r="P370" s="20">
        <v>1</v>
      </c>
      <c r="Q370" s="20">
        <v>2</v>
      </c>
      <c r="R370" s="20">
        <v>1</v>
      </c>
      <c r="S370" s="21">
        <f>NETWORKDAYS.INTL(DATE(2018,1,1),DATE(2018,12,31),1,{"2018/1/1";"2018/3/30";"2018/4/2";"2018/5/1";"2018/5/8";"2018/7/5";"2018/7/6";"2018/09/28";"2018/11/17";"2018/12/24";"2018/12/25";"2018/12/26"})</f>
        <v>250</v>
      </c>
      <c r="T370" s="21">
        <f t="shared" si="29"/>
        <v>115</v>
      </c>
      <c r="U370" s="21">
        <f t="shared" si="30"/>
        <v>365</v>
      </c>
      <c r="V370" s="311">
        <f t="shared" si="31"/>
        <v>730</v>
      </c>
      <c r="W370" s="140">
        <f t="shared" si="32"/>
        <v>0</v>
      </c>
      <c r="X370" s="141">
        <f t="shared" si="33"/>
        <v>0</v>
      </c>
      <c r="Y370" s="141">
        <v>0</v>
      </c>
    </row>
    <row r="371" spans="1:25" ht="15" x14ac:dyDescent="0.2">
      <c r="A371" s="276" t="s">
        <v>1128</v>
      </c>
      <c r="B371" s="23" t="s">
        <v>328</v>
      </c>
      <c r="C371" s="32" t="s">
        <v>185</v>
      </c>
      <c r="D371" s="139" t="str">
        <f>VLOOKUP(C371,'Seznam HS - nemaš'!$A$1:$B$96,2,FALSE)</f>
        <v>430100</v>
      </c>
      <c r="E371" s="22" t="s">
        <v>1162</v>
      </c>
      <c r="F371" s="30" t="s">
        <v>53</v>
      </c>
      <c r="G371" s="30"/>
      <c r="H371" s="28">
        <f>+IF(ISBLANK(I371),0,VLOOKUP(I371,'8Příloha_2_ceník_pravid_úklid'!$B$9:$C$30,2,0))</f>
        <v>6</v>
      </c>
      <c r="I371" s="143" t="s">
        <v>1</v>
      </c>
      <c r="J371" s="245">
        <v>52.51</v>
      </c>
      <c r="K371" s="275" t="s">
        <v>51</v>
      </c>
      <c r="L371" s="156" t="s">
        <v>22</v>
      </c>
      <c r="M371" s="22" t="s">
        <v>49</v>
      </c>
      <c r="N371" s="24">
        <f>IF((VLOOKUP(I371,'8Příloha_2_ceník_pravid_úklid'!$B$9:$I$30,8,0))=0,VLOOKUP(I371,'8Příloha_2_ceník_pravid_úklid'!$B$9:$K$30,10,0),VLOOKUP(I371,'8Příloha_2_ceník_pravid_úklid'!$B$9:$I$30,8,0))</f>
        <v>0</v>
      </c>
      <c r="O371" s="20">
        <v>2</v>
      </c>
      <c r="P371" s="20">
        <v>1</v>
      </c>
      <c r="Q371" s="20">
        <v>2</v>
      </c>
      <c r="R371" s="20">
        <v>1</v>
      </c>
      <c r="S371" s="21">
        <f>NETWORKDAYS.INTL(DATE(2018,1,1),DATE(2018,12,31),1,{"2018/1/1";"2018/3/30";"2018/4/2";"2018/5/1";"2018/5/8";"2018/7/5";"2018/7/6";"2018/09/28";"2018/11/17";"2018/12/24";"2018/12/25";"2018/12/26"})</f>
        <v>250</v>
      </c>
      <c r="T371" s="21">
        <f t="shared" si="29"/>
        <v>115</v>
      </c>
      <c r="U371" s="21">
        <f t="shared" si="30"/>
        <v>365</v>
      </c>
      <c r="V371" s="311">
        <f t="shared" si="31"/>
        <v>730</v>
      </c>
      <c r="W371" s="140">
        <f t="shared" si="32"/>
        <v>0</v>
      </c>
      <c r="X371" s="141">
        <f t="shared" si="33"/>
        <v>0</v>
      </c>
      <c r="Y371" s="141">
        <v>0</v>
      </c>
    </row>
    <row r="372" spans="1:25" ht="15" x14ac:dyDescent="0.2">
      <c r="A372" s="276" t="s">
        <v>1163</v>
      </c>
      <c r="B372" s="23" t="s">
        <v>328</v>
      </c>
      <c r="C372" s="32" t="s">
        <v>187</v>
      </c>
      <c r="D372" s="139" t="str">
        <f>VLOOKUP(C372,'Seznam HS - nemaš'!$A$1:$B$96,2,FALSE)</f>
        <v>430101</v>
      </c>
      <c r="E372" s="22" t="s">
        <v>1164</v>
      </c>
      <c r="F372" s="30" t="s">
        <v>567</v>
      </c>
      <c r="G372" s="30" t="s">
        <v>872</v>
      </c>
      <c r="H372" s="28">
        <f>+IF(ISBLANK(I372),0,VLOOKUP(I372,'8Příloha_2_ceník_pravid_úklid'!$B$9:$C$30,2,0))</f>
        <v>1</v>
      </c>
      <c r="I372" s="143" t="s">
        <v>78</v>
      </c>
      <c r="J372" s="145">
        <v>27.12</v>
      </c>
      <c r="K372" s="275" t="s">
        <v>51</v>
      </c>
      <c r="L372" s="156" t="s">
        <v>537</v>
      </c>
      <c r="M372" s="22" t="s">
        <v>49</v>
      </c>
      <c r="N372" s="24">
        <f>IF((VLOOKUP(I372,'8Příloha_2_ceník_pravid_úklid'!$B$9:$I$30,8,0))=0,VLOOKUP(I372,'8Příloha_2_ceník_pravid_úklid'!$B$9:$K$30,10,0),VLOOKUP(I372,'8Příloha_2_ceník_pravid_úklid'!$B$9:$I$30,8,0))</f>
        <v>0</v>
      </c>
      <c r="O372" s="20">
        <v>1</v>
      </c>
      <c r="P372" s="20">
        <v>1</v>
      </c>
      <c r="Q372" s="20">
        <v>1</v>
      </c>
      <c r="R372" s="20">
        <v>1</v>
      </c>
      <c r="S372" s="21">
        <f>NETWORKDAYS.INTL(DATE(2018,1,1),DATE(2018,12,31),1,{"2018/1/1";"2018/3/30";"2018/4/2";"2018/5/1";"2018/5/8";"2018/7/5";"2018/7/6";"2018/09/28";"2018/11/17";"2018/12/24";"2018/12/25";"2018/12/26"})</f>
        <v>250</v>
      </c>
      <c r="T372" s="21">
        <f t="shared" si="29"/>
        <v>115</v>
      </c>
      <c r="U372" s="21">
        <f t="shared" si="30"/>
        <v>365</v>
      </c>
      <c r="V372" s="311">
        <f t="shared" si="31"/>
        <v>365</v>
      </c>
      <c r="W372" s="140">
        <f t="shared" si="32"/>
        <v>0</v>
      </c>
      <c r="X372" s="141">
        <f t="shared" si="33"/>
        <v>0</v>
      </c>
      <c r="Y372" s="141">
        <v>0</v>
      </c>
    </row>
    <row r="373" spans="1:25" ht="15" x14ac:dyDescent="0.2">
      <c r="A373" s="276" t="s">
        <v>1163</v>
      </c>
      <c r="B373" s="23" t="s">
        <v>328</v>
      </c>
      <c r="C373" s="32" t="s">
        <v>187</v>
      </c>
      <c r="D373" s="139" t="str">
        <f>VLOOKUP(C373,'Seznam HS - nemaš'!$A$1:$B$96,2,FALSE)</f>
        <v>430101</v>
      </c>
      <c r="E373" s="22" t="s">
        <v>1165</v>
      </c>
      <c r="F373" s="30" t="s">
        <v>724</v>
      </c>
      <c r="G373" s="30"/>
      <c r="H373" s="28">
        <f>+IF(ISBLANK(I373),0,VLOOKUP(I373,'8Příloha_2_ceník_pravid_úklid'!$B$9:$C$30,2,0))</f>
        <v>7</v>
      </c>
      <c r="I373" s="143" t="s">
        <v>14</v>
      </c>
      <c r="J373" s="145">
        <v>3.42</v>
      </c>
      <c r="K373" s="275" t="s">
        <v>50</v>
      </c>
      <c r="L373" s="156" t="s">
        <v>22</v>
      </c>
      <c r="M373" s="22" t="s">
        <v>49</v>
      </c>
      <c r="N373" s="24">
        <f>IF((VLOOKUP(I373,'8Příloha_2_ceník_pravid_úklid'!$B$9:$I$30,8,0))=0,VLOOKUP(I373,'8Příloha_2_ceník_pravid_úklid'!$B$9:$K$30,10,0),VLOOKUP(I373,'8Příloha_2_ceník_pravid_úklid'!$B$9:$I$30,8,0))</f>
        <v>0</v>
      </c>
      <c r="O373" s="20">
        <v>2</v>
      </c>
      <c r="P373" s="20">
        <v>1</v>
      </c>
      <c r="Q373" s="20">
        <v>2</v>
      </c>
      <c r="R373" s="20">
        <v>1</v>
      </c>
      <c r="S373" s="21">
        <f>NETWORKDAYS.INTL(DATE(2018,1,1),DATE(2018,12,31),1,{"2018/1/1";"2018/3/30";"2018/4/2";"2018/5/1";"2018/5/8";"2018/7/5";"2018/7/6";"2018/09/28";"2018/11/17";"2018/12/24";"2018/12/25";"2018/12/26"})</f>
        <v>250</v>
      </c>
      <c r="T373" s="21">
        <f t="shared" si="29"/>
        <v>115</v>
      </c>
      <c r="U373" s="21">
        <f t="shared" si="30"/>
        <v>365</v>
      </c>
      <c r="V373" s="311">
        <f t="shared" si="31"/>
        <v>730</v>
      </c>
      <c r="W373" s="140">
        <f t="shared" si="32"/>
        <v>0</v>
      </c>
      <c r="X373" s="141">
        <f t="shared" si="33"/>
        <v>0</v>
      </c>
      <c r="Y373" s="141">
        <v>0</v>
      </c>
    </row>
    <row r="374" spans="1:25" ht="15" x14ac:dyDescent="0.2">
      <c r="A374" s="276" t="s">
        <v>1163</v>
      </c>
      <c r="B374" s="23" t="s">
        <v>328</v>
      </c>
      <c r="C374" s="32" t="s">
        <v>187</v>
      </c>
      <c r="D374" s="139" t="str">
        <f>VLOOKUP(C374,'Seznam HS - nemaš'!$A$1:$B$96,2,FALSE)</f>
        <v>430101</v>
      </c>
      <c r="E374" s="22" t="s">
        <v>1166</v>
      </c>
      <c r="F374" s="30" t="s">
        <v>567</v>
      </c>
      <c r="G374" s="30" t="s">
        <v>872</v>
      </c>
      <c r="H374" s="28">
        <f>+IF(ISBLANK(I374),0,VLOOKUP(I374,'8Příloha_2_ceník_pravid_úklid'!$B$9:$C$30,2,0))</f>
        <v>1</v>
      </c>
      <c r="I374" s="143" t="s">
        <v>78</v>
      </c>
      <c r="J374" s="145">
        <v>28.21</v>
      </c>
      <c r="K374" s="275" t="s">
        <v>51</v>
      </c>
      <c r="L374" s="156" t="s">
        <v>537</v>
      </c>
      <c r="M374" s="22" t="s">
        <v>49</v>
      </c>
      <c r="N374" s="24">
        <f>IF((VLOOKUP(I374,'8Příloha_2_ceník_pravid_úklid'!$B$9:$I$30,8,0))=0,VLOOKUP(I374,'8Příloha_2_ceník_pravid_úklid'!$B$9:$K$30,10,0),VLOOKUP(I374,'8Příloha_2_ceník_pravid_úklid'!$B$9:$I$30,8,0))</f>
        <v>0</v>
      </c>
      <c r="O374" s="20">
        <v>1</v>
      </c>
      <c r="P374" s="20">
        <v>1</v>
      </c>
      <c r="Q374" s="20">
        <v>1</v>
      </c>
      <c r="R374" s="20">
        <v>1</v>
      </c>
      <c r="S374" s="21">
        <f>NETWORKDAYS.INTL(DATE(2018,1,1),DATE(2018,12,31),1,{"2018/1/1";"2018/3/30";"2018/4/2";"2018/5/1";"2018/5/8";"2018/7/5";"2018/7/6";"2018/09/28";"2018/11/17";"2018/12/24";"2018/12/25";"2018/12/26"})</f>
        <v>250</v>
      </c>
      <c r="T374" s="21">
        <f t="shared" si="29"/>
        <v>115</v>
      </c>
      <c r="U374" s="21">
        <f t="shared" si="30"/>
        <v>365</v>
      </c>
      <c r="V374" s="311">
        <f t="shared" si="31"/>
        <v>365</v>
      </c>
      <c r="W374" s="140">
        <f t="shared" si="32"/>
        <v>0</v>
      </c>
      <c r="X374" s="141">
        <f t="shared" si="33"/>
        <v>0</v>
      </c>
      <c r="Y374" s="141">
        <v>0</v>
      </c>
    </row>
    <row r="375" spans="1:25" ht="15" x14ac:dyDescent="0.2">
      <c r="A375" s="276" t="s">
        <v>1163</v>
      </c>
      <c r="B375" s="23" t="s">
        <v>328</v>
      </c>
      <c r="C375" s="32" t="s">
        <v>187</v>
      </c>
      <c r="D375" s="139" t="str">
        <f>VLOOKUP(C375,'Seznam HS - nemaš'!$A$1:$B$96,2,FALSE)</f>
        <v>430101</v>
      </c>
      <c r="E375" s="22" t="s">
        <v>1167</v>
      </c>
      <c r="F375" s="30" t="s">
        <v>724</v>
      </c>
      <c r="G375" s="30"/>
      <c r="H375" s="28">
        <f>+IF(ISBLANK(I375),0,VLOOKUP(I375,'8Příloha_2_ceník_pravid_úklid'!$B$9:$C$30,2,0))</f>
        <v>7</v>
      </c>
      <c r="I375" s="143" t="s">
        <v>14</v>
      </c>
      <c r="J375" s="145">
        <v>2.97</v>
      </c>
      <c r="K375" s="275" t="s">
        <v>50</v>
      </c>
      <c r="L375" s="156" t="s">
        <v>22</v>
      </c>
      <c r="M375" s="22" t="s">
        <v>49</v>
      </c>
      <c r="N375" s="24">
        <f>IF((VLOOKUP(I375,'8Příloha_2_ceník_pravid_úklid'!$B$9:$I$30,8,0))=0,VLOOKUP(I375,'8Příloha_2_ceník_pravid_úklid'!$B$9:$K$30,10,0),VLOOKUP(I375,'8Příloha_2_ceník_pravid_úklid'!$B$9:$I$30,8,0))</f>
        <v>0</v>
      </c>
      <c r="O375" s="20">
        <v>2</v>
      </c>
      <c r="P375" s="20">
        <v>1</v>
      </c>
      <c r="Q375" s="20">
        <v>2</v>
      </c>
      <c r="R375" s="20">
        <v>1</v>
      </c>
      <c r="S375" s="21">
        <f>NETWORKDAYS.INTL(DATE(2018,1,1),DATE(2018,12,31),1,{"2018/1/1";"2018/3/30";"2018/4/2";"2018/5/1";"2018/5/8";"2018/7/5";"2018/7/6";"2018/09/28";"2018/11/17";"2018/12/24";"2018/12/25";"2018/12/26"})</f>
        <v>250</v>
      </c>
      <c r="T375" s="21">
        <f t="shared" si="29"/>
        <v>115</v>
      </c>
      <c r="U375" s="21">
        <f t="shared" si="30"/>
        <v>365</v>
      </c>
      <c r="V375" s="311">
        <f t="shared" si="31"/>
        <v>730</v>
      </c>
      <c r="W375" s="140">
        <f t="shared" si="32"/>
        <v>0</v>
      </c>
      <c r="X375" s="141">
        <f t="shared" si="33"/>
        <v>0</v>
      </c>
      <c r="Y375" s="141">
        <v>0</v>
      </c>
    </row>
    <row r="376" spans="1:25" ht="15" x14ac:dyDescent="0.2">
      <c r="A376" s="276" t="s">
        <v>1163</v>
      </c>
      <c r="B376" s="23" t="s">
        <v>328</v>
      </c>
      <c r="C376" s="32" t="s">
        <v>187</v>
      </c>
      <c r="D376" s="139" t="str">
        <f>VLOOKUP(C376,'Seznam HS - nemaš'!$A$1:$B$96,2,FALSE)</f>
        <v>430101</v>
      </c>
      <c r="E376" s="22" t="s">
        <v>1168</v>
      </c>
      <c r="F376" s="30" t="s">
        <v>567</v>
      </c>
      <c r="G376" s="30" t="s">
        <v>872</v>
      </c>
      <c r="H376" s="28">
        <f>+IF(ISBLANK(I376),0,VLOOKUP(I376,'8Příloha_2_ceník_pravid_úklid'!$B$9:$C$30,2,0))</f>
        <v>1</v>
      </c>
      <c r="I376" s="143" t="s">
        <v>78</v>
      </c>
      <c r="J376" s="145">
        <v>27.49</v>
      </c>
      <c r="K376" s="275" t="s">
        <v>51</v>
      </c>
      <c r="L376" s="156" t="s">
        <v>537</v>
      </c>
      <c r="M376" s="22" t="s">
        <v>49</v>
      </c>
      <c r="N376" s="24">
        <f>IF((VLOOKUP(I376,'8Příloha_2_ceník_pravid_úklid'!$B$9:$I$30,8,0))=0,VLOOKUP(I376,'8Příloha_2_ceník_pravid_úklid'!$B$9:$K$30,10,0),VLOOKUP(I376,'8Příloha_2_ceník_pravid_úklid'!$B$9:$I$30,8,0))</f>
        <v>0</v>
      </c>
      <c r="O376" s="20">
        <v>1</v>
      </c>
      <c r="P376" s="20">
        <v>1</v>
      </c>
      <c r="Q376" s="20">
        <v>1</v>
      </c>
      <c r="R376" s="20">
        <v>1</v>
      </c>
      <c r="S376" s="21">
        <f>NETWORKDAYS.INTL(DATE(2018,1,1),DATE(2018,12,31),1,{"2018/1/1";"2018/3/30";"2018/4/2";"2018/5/1";"2018/5/8";"2018/7/5";"2018/7/6";"2018/09/28";"2018/11/17";"2018/12/24";"2018/12/25";"2018/12/26"})</f>
        <v>250</v>
      </c>
      <c r="T376" s="21">
        <f t="shared" si="29"/>
        <v>115</v>
      </c>
      <c r="U376" s="21">
        <f t="shared" si="30"/>
        <v>365</v>
      </c>
      <c r="V376" s="311">
        <f t="shared" si="31"/>
        <v>365</v>
      </c>
      <c r="W376" s="140">
        <f t="shared" si="32"/>
        <v>0</v>
      </c>
      <c r="X376" s="141">
        <f t="shared" si="33"/>
        <v>0</v>
      </c>
      <c r="Y376" s="141">
        <v>0</v>
      </c>
    </row>
    <row r="377" spans="1:25" ht="15" x14ac:dyDescent="0.2">
      <c r="A377" s="276" t="s">
        <v>1163</v>
      </c>
      <c r="B377" s="23" t="s">
        <v>328</v>
      </c>
      <c r="C377" s="32" t="s">
        <v>187</v>
      </c>
      <c r="D377" s="139" t="str">
        <f>VLOOKUP(C377,'Seznam HS - nemaš'!$A$1:$B$96,2,FALSE)</f>
        <v>430101</v>
      </c>
      <c r="E377" s="22" t="s">
        <v>1169</v>
      </c>
      <c r="F377" s="30" t="s">
        <v>724</v>
      </c>
      <c r="G377" s="30"/>
      <c r="H377" s="28">
        <f>+IF(ISBLANK(I377),0,VLOOKUP(I377,'8Příloha_2_ceník_pravid_úklid'!$B$9:$C$30,2,0))</f>
        <v>7</v>
      </c>
      <c r="I377" s="143" t="s">
        <v>14</v>
      </c>
      <c r="J377" s="145">
        <v>3.37</v>
      </c>
      <c r="K377" s="275" t="s">
        <v>50</v>
      </c>
      <c r="L377" s="156" t="s">
        <v>22</v>
      </c>
      <c r="M377" s="22" t="s">
        <v>49</v>
      </c>
      <c r="N377" s="24">
        <f>IF((VLOOKUP(I377,'8Příloha_2_ceník_pravid_úklid'!$B$9:$I$30,8,0))=0,VLOOKUP(I377,'8Příloha_2_ceník_pravid_úklid'!$B$9:$K$30,10,0),VLOOKUP(I377,'8Příloha_2_ceník_pravid_úklid'!$B$9:$I$30,8,0))</f>
        <v>0</v>
      </c>
      <c r="O377" s="20">
        <v>2</v>
      </c>
      <c r="P377" s="20">
        <v>1</v>
      </c>
      <c r="Q377" s="20">
        <v>2</v>
      </c>
      <c r="R377" s="20">
        <v>1</v>
      </c>
      <c r="S377" s="21">
        <f>NETWORKDAYS.INTL(DATE(2018,1,1),DATE(2018,12,31),1,{"2018/1/1";"2018/3/30";"2018/4/2";"2018/5/1";"2018/5/8";"2018/7/5";"2018/7/6";"2018/09/28";"2018/11/17";"2018/12/24";"2018/12/25";"2018/12/26"})</f>
        <v>250</v>
      </c>
      <c r="T377" s="21">
        <f t="shared" si="29"/>
        <v>115</v>
      </c>
      <c r="U377" s="21">
        <f t="shared" si="30"/>
        <v>365</v>
      </c>
      <c r="V377" s="311">
        <f t="shared" si="31"/>
        <v>730</v>
      </c>
      <c r="W377" s="140">
        <f t="shared" si="32"/>
        <v>0</v>
      </c>
      <c r="X377" s="141">
        <f t="shared" si="33"/>
        <v>0</v>
      </c>
      <c r="Y377" s="141">
        <v>0</v>
      </c>
    </row>
    <row r="378" spans="1:25" ht="15" x14ac:dyDescent="0.2">
      <c r="A378" s="276" t="s">
        <v>1163</v>
      </c>
      <c r="B378" s="23" t="s">
        <v>328</v>
      </c>
      <c r="C378" s="32" t="s">
        <v>187</v>
      </c>
      <c r="D378" s="139" t="str">
        <f>VLOOKUP(C378,'Seznam HS - nemaš'!$A$1:$B$96,2,FALSE)</f>
        <v>430101</v>
      </c>
      <c r="E378" s="22" t="s">
        <v>1170</v>
      </c>
      <c r="F378" s="30" t="s">
        <v>612</v>
      </c>
      <c r="G378" s="30" t="s">
        <v>1141</v>
      </c>
      <c r="H378" s="28">
        <f>+IF(ISBLANK(I378),0,VLOOKUP(I378,'8Příloha_2_ceník_pravid_úklid'!$B$9:$C$30,2,0))</f>
        <v>3</v>
      </c>
      <c r="I378" s="143" t="s">
        <v>3</v>
      </c>
      <c r="J378" s="145">
        <v>15.23</v>
      </c>
      <c r="K378" s="275" t="s">
        <v>51</v>
      </c>
      <c r="L378" s="156" t="s">
        <v>22</v>
      </c>
      <c r="M378" s="22" t="s">
        <v>49</v>
      </c>
      <c r="N378" s="24">
        <f>IF((VLOOKUP(I378,'8Příloha_2_ceník_pravid_úklid'!$B$9:$I$30,8,0))=0,VLOOKUP(I378,'8Příloha_2_ceník_pravid_úklid'!$B$9:$K$30,10,0),VLOOKUP(I378,'8Příloha_2_ceník_pravid_úklid'!$B$9:$I$30,8,0))</f>
        <v>0</v>
      </c>
      <c r="O378" s="20">
        <v>2</v>
      </c>
      <c r="P378" s="20">
        <v>1</v>
      </c>
      <c r="Q378" s="20">
        <v>2</v>
      </c>
      <c r="R378" s="20">
        <v>1</v>
      </c>
      <c r="S378" s="21">
        <f>NETWORKDAYS.INTL(DATE(2018,1,1),DATE(2018,12,31),1,{"2018/1/1";"2018/3/30";"2018/4/2";"2018/5/1";"2018/5/8";"2018/7/5";"2018/7/6";"2018/09/28";"2018/11/17";"2018/12/24";"2018/12/25";"2018/12/26"})</f>
        <v>250</v>
      </c>
      <c r="T378" s="21">
        <f t="shared" si="29"/>
        <v>115</v>
      </c>
      <c r="U378" s="21">
        <f t="shared" si="30"/>
        <v>365</v>
      </c>
      <c r="V378" s="311">
        <f t="shared" si="31"/>
        <v>730</v>
      </c>
      <c r="W378" s="140">
        <f t="shared" si="32"/>
        <v>0</v>
      </c>
      <c r="X378" s="141">
        <f t="shared" si="33"/>
        <v>0</v>
      </c>
      <c r="Y378" s="141">
        <v>0</v>
      </c>
    </row>
    <row r="379" spans="1:25" ht="15" x14ac:dyDescent="0.2">
      <c r="A379" s="276" t="s">
        <v>1163</v>
      </c>
      <c r="B379" s="23" t="s">
        <v>328</v>
      </c>
      <c r="C379" s="32" t="s">
        <v>187</v>
      </c>
      <c r="D379" s="139" t="str">
        <f>VLOOKUP(C379,'Seznam HS - nemaš'!$A$1:$B$96,2,FALSE)</f>
        <v>430101</v>
      </c>
      <c r="E379" s="22" t="s">
        <v>1171</v>
      </c>
      <c r="F379" s="30" t="s">
        <v>565</v>
      </c>
      <c r="G379" s="30"/>
      <c r="H379" s="28">
        <f>+IF(ISBLANK(I379),0,VLOOKUP(I379,'8Příloha_2_ceník_pravid_úklid'!$B$9:$C$30,2,0))</f>
        <v>2</v>
      </c>
      <c r="I379" s="143" t="s">
        <v>2</v>
      </c>
      <c r="J379" s="145">
        <v>18</v>
      </c>
      <c r="K379" s="275" t="s">
        <v>51</v>
      </c>
      <c r="L379" s="156" t="s">
        <v>22</v>
      </c>
      <c r="M379" s="22" t="s">
        <v>49</v>
      </c>
      <c r="N379" s="24">
        <f>IF((VLOOKUP(I379,'8Příloha_2_ceník_pravid_úklid'!$B$9:$I$30,8,0))=0,VLOOKUP(I379,'8Příloha_2_ceník_pravid_úklid'!$B$9:$K$30,10,0),VLOOKUP(I379,'8Příloha_2_ceník_pravid_úklid'!$B$9:$I$30,8,0))</f>
        <v>0</v>
      </c>
      <c r="O379" s="20">
        <v>2</v>
      </c>
      <c r="P379" s="20">
        <v>1</v>
      </c>
      <c r="Q379" s="20">
        <v>2</v>
      </c>
      <c r="R379" s="20">
        <v>1</v>
      </c>
      <c r="S379" s="21">
        <f>NETWORKDAYS.INTL(DATE(2018,1,1),DATE(2018,12,31),1,{"2018/1/1";"2018/3/30";"2018/4/2";"2018/5/1";"2018/5/8";"2018/7/5";"2018/7/6";"2018/09/28";"2018/11/17";"2018/12/24";"2018/12/25";"2018/12/26"})</f>
        <v>250</v>
      </c>
      <c r="T379" s="21">
        <f t="shared" si="29"/>
        <v>115</v>
      </c>
      <c r="U379" s="21">
        <f t="shared" si="30"/>
        <v>365</v>
      </c>
      <c r="V379" s="311">
        <f t="shared" si="31"/>
        <v>730</v>
      </c>
      <c r="W379" s="140">
        <f t="shared" si="32"/>
        <v>0</v>
      </c>
      <c r="X379" s="141">
        <f t="shared" si="33"/>
        <v>0</v>
      </c>
      <c r="Y379" s="141">
        <v>0</v>
      </c>
    </row>
    <row r="380" spans="1:25" ht="15" x14ac:dyDescent="0.2">
      <c r="A380" s="276" t="s">
        <v>1163</v>
      </c>
      <c r="B380" s="23" t="s">
        <v>328</v>
      </c>
      <c r="C380" s="32" t="s">
        <v>187</v>
      </c>
      <c r="D380" s="139" t="str">
        <f>VLOOKUP(C380,'Seznam HS - nemaš'!$A$1:$B$96,2,FALSE)</f>
        <v>430101</v>
      </c>
      <c r="E380" s="22" t="s">
        <v>1172</v>
      </c>
      <c r="F380" s="30" t="s">
        <v>612</v>
      </c>
      <c r="G380" s="30" t="s">
        <v>880</v>
      </c>
      <c r="H380" s="28">
        <f>+IF(ISBLANK(I380),0,VLOOKUP(I380,'8Příloha_2_ceník_pravid_úklid'!$B$9:$C$30,2,0))</f>
        <v>3</v>
      </c>
      <c r="I380" s="143" t="s">
        <v>3</v>
      </c>
      <c r="J380" s="145">
        <v>15.24</v>
      </c>
      <c r="K380" s="275" t="s">
        <v>51</v>
      </c>
      <c r="L380" s="156" t="s">
        <v>22</v>
      </c>
      <c r="M380" s="22" t="s">
        <v>49</v>
      </c>
      <c r="N380" s="24">
        <f>IF((VLOOKUP(I380,'8Příloha_2_ceník_pravid_úklid'!$B$9:$I$30,8,0))=0,VLOOKUP(I380,'8Příloha_2_ceník_pravid_úklid'!$B$9:$K$30,10,0),VLOOKUP(I380,'8Příloha_2_ceník_pravid_úklid'!$B$9:$I$30,8,0))</f>
        <v>0</v>
      </c>
      <c r="O380" s="20">
        <v>2</v>
      </c>
      <c r="P380" s="20">
        <v>1</v>
      </c>
      <c r="Q380" s="20">
        <v>2</v>
      </c>
      <c r="R380" s="20">
        <v>1</v>
      </c>
      <c r="S380" s="21">
        <f>NETWORKDAYS.INTL(DATE(2018,1,1),DATE(2018,12,31),1,{"2018/1/1";"2018/3/30";"2018/4/2";"2018/5/1";"2018/5/8";"2018/7/5";"2018/7/6";"2018/09/28";"2018/11/17";"2018/12/24";"2018/12/25";"2018/12/26"})</f>
        <v>250</v>
      </c>
      <c r="T380" s="21">
        <f t="shared" si="29"/>
        <v>115</v>
      </c>
      <c r="U380" s="21">
        <f t="shared" si="30"/>
        <v>365</v>
      </c>
      <c r="V380" s="311">
        <f t="shared" si="31"/>
        <v>730</v>
      </c>
      <c r="W380" s="140">
        <f t="shared" si="32"/>
        <v>0</v>
      </c>
      <c r="X380" s="141">
        <f t="shared" si="33"/>
        <v>0</v>
      </c>
      <c r="Y380" s="141">
        <v>0</v>
      </c>
    </row>
    <row r="381" spans="1:25" ht="15" x14ac:dyDescent="0.2">
      <c r="A381" s="276" t="s">
        <v>1163</v>
      </c>
      <c r="B381" s="23" t="s">
        <v>328</v>
      </c>
      <c r="C381" s="32" t="s">
        <v>187</v>
      </c>
      <c r="D381" s="139" t="str">
        <f>VLOOKUP(C381,'Seznam HS - nemaš'!$A$1:$B$96,2,FALSE)</f>
        <v>430101</v>
      </c>
      <c r="E381" s="22" t="s">
        <v>1173</v>
      </c>
      <c r="F381" s="30" t="s">
        <v>567</v>
      </c>
      <c r="G381" s="30" t="s">
        <v>872</v>
      </c>
      <c r="H381" s="28">
        <f>+IF(ISBLANK(I381),0,VLOOKUP(I381,'8Příloha_2_ceník_pravid_úklid'!$B$9:$C$30,2,0))</f>
        <v>1</v>
      </c>
      <c r="I381" s="143" t="s">
        <v>78</v>
      </c>
      <c r="J381" s="145">
        <v>26.9</v>
      </c>
      <c r="K381" s="275" t="s">
        <v>51</v>
      </c>
      <c r="L381" s="156" t="s">
        <v>537</v>
      </c>
      <c r="M381" s="22" t="s">
        <v>49</v>
      </c>
      <c r="N381" s="24">
        <f>IF((VLOOKUP(I381,'8Příloha_2_ceník_pravid_úklid'!$B$9:$I$30,8,0))=0,VLOOKUP(I381,'8Příloha_2_ceník_pravid_úklid'!$B$9:$K$30,10,0),VLOOKUP(I381,'8Příloha_2_ceník_pravid_úklid'!$B$9:$I$30,8,0))</f>
        <v>0</v>
      </c>
      <c r="O381" s="20">
        <v>1</v>
      </c>
      <c r="P381" s="20">
        <v>1</v>
      </c>
      <c r="Q381" s="20">
        <v>1</v>
      </c>
      <c r="R381" s="20">
        <v>1</v>
      </c>
      <c r="S381" s="21">
        <f>NETWORKDAYS.INTL(DATE(2018,1,1),DATE(2018,12,31),1,{"2018/1/1";"2018/3/30";"2018/4/2";"2018/5/1";"2018/5/8";"2018/7/5";"2018/7/6";"2018/09/28";"2018/11/17";"2018/12/24";"2018/12/25";"2018/12/26"})</f>
        <v>250</v>
      </c>
      <c r="T381" s="21">
        <f t="shared" si="29"/>
        <v>115</v>
      </c>
      <c r="U381" s="21">
        <f t="shared" si="30"/>
        <v>365</v>
      </c>
      <c r="V381" s="311">
        <f t="shared" si="31"/>
        <v>365</v>
      </c>
      <c r="W381" s="140">
        <f t="shared" si="32"/>
        <v>0</v>
      </c>
      <c r="X381" s="141">
        <f t="shared" si="33"/>
        <v>0</v>
      </c>
      <c r="Y381" s="141">
        <v>0</v>
      </c>
    </row>
    <row r="382" spans="1:25" ht="15" x14ac:dyDescent="0.2">
      <c r="A382" s="276" t="s">
        <v>1163</v>
      </c>
      <c r="B382" s="23" t="s">
        <v>328</v>
      </c>
      <c r="C382" s="32" t="s">
        <v>187</v>
      </c>
      <c r="D382" s="139" t="str">
        <f>VLOOKUP(C382,'Seznam HS - nemaš'!$A$1:$B$96,2,FALSE)</f>
        <v>430101</v>
      </c>
      <c r="E382" s="22" t="s">
        <v>1174</v>
      </c>
      <c r="F382" s="30" t="s">
        <v>724</v>
      </c>
      <c r="G382" s="30"/>
      <c r="H382" s="28">
        <f>+IF(ISBLANK(I382),0,VLOOKUP(I382,'8Příloha_2_ceník_pravid_úklid'!$B$9:$C$30,2,0))</f>
        <v>7</v>
      </c>
      <c r="I382" s="143" t="s">
        <v>14</v>
      </c>
      <c r="J382" s="145">
        <v>3.44</v>
      </c>
      <c r="K382" s="275" t="s">
        <v>50</v>
      </c>
      <c r="L382" s="156" t="s">
        <v>22</v>
      </c>
      <c r="M382" s="22" t="s">
        <v>49</v>
      </c>
      <c r="N382" s="24">
        <f>IF((VLOOKUP(I382,'8Příloha_2_ceník_pravid_úklid'!$B$9:$I$30,8,0))=0,VLOOKUP(I382,'8Příloha_2_ceník_pravid_úklid'!$B$9:$K$30,10,0),VLOOKUP(I382,'8Příloha_2_ceník_pravid_úklid'!$B$9:$I$30,8,0))</f>
        <v>0</v>
      </c>
      <c r="O382" s="20">
        <v>2</v>
      </c>
      <c r="P382" s="20">
        <v>1</v>
      </c>
      <c r="Q382" s="20">
        <v>2</v>
      </c>
      <c r="R382" s="20">
        <v>1</v>
      </c>
      <c r="S382" s="21">
        <f>NETWORKDAYS.INTL(DATE(2018,1,1),DATE(2018,12,31),1,{"2018/1/1";"2018/3/30";"2018/4/2";"2018/5/1";"2018/5/8";"2018/7/5";"2018/7/6";"2018/09/28";"2018/11/17";"2018/12/24";"2018/12/25";"2018/12/26"})</f>
        <v>250</v>
      </c>
      <c r="T382" s="21">
        <f t="shared" si="29"/>
        <v>115</v>
      </c>
      <c r="U382" s="21">
        <f t="shared" si="30"/>
        <v>365</v>
      </c>
      <c r="V382" s="311">
        <f t="shared" si="31"/>
        <v>730</v>
      </c>
      <c r="W382" s="140">
        <f t="shared" si="32"/>
        <v>0</v>
      </c>
      <c r="X382" s="141">
        <f t="shared" si="33"/>
        <v>0</v>
      </c>
      <c r="Y382" s="141">
        <v>0</v>
      </c>
    </row>
    <row r="383" spans="1:25" ht="15" x14ac:dyDescent="0.2">
      <c r="A383" s="276" t="s">
        <v>1163</v>
      </c>
      <c r="B383" s="23" t="s">
        <v>328</v>
      </c>
      <c r="C383" s="32" t="s">
        <v>187</v>
      </c>
      <c r="D383" s="139" t="str">
        <f>VLOOKUP(C383,'Seznam HS - nemaš'!$A$1:$B$96,2,FALSE)</f>
        <v>430101</v>
      </c>
      <c r="E383" s="22" t="s">
        <v>1175</v>
      </c>
      <c r="F383" s="30" t="s">
        <v>567</v>
      </c>
      <c r="G383" s="30" t="s">
        <v>872</v>
      </c>
      <c r="H383" s="28">
        <f>+IF(ISBLANK(I383),0,VLOOKUP(I383,'8Příloha_2_ceník_pravid_úklid'!$B$9:$C$30,2,0))</f>
        <v>1</v>
      </c>
      <c r="I383" s="143" t="s">
        <v>78</v>
      </c>
      <c r="J383" s="145">
        <v>28.21</v>
      </c>
      <c r="K383" s="275" t="s">
        <v>51</v>
      </c>
      <c r="L383" s="156" t="s">
        <v>537</v>
      </c>
      <c r="M383" s="22" t="s">
        <v>49</v>
      </c>
      <c r="N383" s="24">
        <f>IF((VLOOKUP(I383,'8Příloha_2_ceník_pravid_úklid'!$B$9:$I$30,8,0))=0,VLOOKUP(I383,'8Příloha_2_ceník_pravid_úklid'!$B$9:$K$30,10,0),VLOOKUP(I383,'8Příloha_2_ceník_pravid_úklid'!$B$9:$I$30,8,0))</f>
        <v>0</v>
      </c>
      <c r="O383" s="20">
        <v>1</v>
      </c>
      <c r="P383" s="20">
        <v>1</v>
      </c>
      <c r="Q383" s="20">
        <v>1</v>
      </c>
      <c r="R383" s="20">
        <v>1</v>
      </c>
      <c r="S383" s="21">
        <f>NETWORKDAYS.INTL(DATE(2018,1,1),DATE(2018,12,31),1,{"2018/1/1";"2018/3/30";"2018/4/2";"2018/5/1";"2018/5/8";"2018/7/5";"2018/7/6";"2018/09/28";"2018/11/17";"2018/12/24";"2018/12/25";"2018/12/26"})</f>
        <v>250</v>
      </c>
      <c r="T383" s="21">
        <f t="shared" si="29"/>
        <v>115</v>
      </c>
      <c r="U383" s="21">
        <f t="shared" si="30"/>
        <v>365</v>
      </c>
      <c r="V383" s="311">
        <f t="shared" si="31"/>
        <v>365</v>
      </c>
      <c r="W383" s="140">
        <f t="shared" si="32"/>
        <v>0</v>
      </c>
      <c r="X383" s="141">
        <f t="shared" si="33"/>
        <v>0</v>
      </c>
      <c r="Y383" s="141">
        <v>0</v>
      </c>
    </row>
    <row r="384" spans="1:25" ht="15" x14ac:dyDescent="0.2">
      <c r="A384" s="276" t="s">
        <v>1163</v>
      </c>
      <c r="B384" s="23" t="s">
        <v>328</v>
      </c>
      <c r="C384" s="32" t="s">
        <v>187</v>
      </c>
      <c r="D384" s="139" t="str">
        <f>VLOOKUP(C384,'Seznam HS - nemaš'!$A$1:$B$96,2,FALSE)</f>
        <v>430101</v>
      </c>
      <c r="E384" s="22" t="s">
        <v>1176</v>
      </c>
      <c r="F384" s="30" t="s">
        <v>724</v>
      </c>
      <c r="G384" s="30"/>
      <c r="H384" s="28">
        <f>+IF(ISBLANK(I384),0,VLOOKUP(I384,'8Příloha_2_ceník_pravid_úklid'!$B$9:$C$30,2,0))</f>
        <v>7</v>
      </c>
      <c r="I384" s="143" t="s">
        <v>14</v>
      </c>
      <c r="J384" s="145">
        <v>3.42</v>
      </c>
      <c r="K384" s="275" t="s">
        <v>50</v>
      </c>
      <c r="L384" s="156" t="s">
        <v>22</v>
      </c>
      <c r="M384" s="22" t="s">
        <v>49</v>
      </c>
      <c r="N384" s="24">
        <f>IF((VLOOKUP(I384,'8Příloha_2_ceník_pravid_úklid'!$B$9:$I$30,8,0))=0,VLOOKUP(I384,'8Příloha_2_ceník_pravid_úklid'!$B$9:$K$30,10,0),VLOOKUP(I384,'8Příloha_2_ceník_pravid_úklid'!$B$9:$I$30,8,0))</f>
        <v>0</v>
      </c>
      <c r="O384" s="20">
        <v>2</v>
      </c>
      <c r="P384" s="20">
        <v>1</v>
      </c>
      <c r="Q384" s="20">
        <v>2</v>
      </c>
      <c r="R384" s="20">
        <v>1</v>
      </c>
      <c r="S384" s="21">
        <f>NETWORKDAYS.INTL(DATE(2018,1,1),DATE(2018,12,31),1,{"2018/1/1";"2018/3/30";"2018/4/2";"2018/5/1";"2018/5/8";"2018/7/5";"2018/7/6";"2018/09/28";"2018/11/17";"2018/12/24";"2018/12/25";"2018/12/26"})</f>
        <v>250</v>
      </c>
      <c r="T384" s="21">
        <f t="shared" si="29"/>
        <v>115</v>
      </c>
      <c r="U384" s="21">
        <f t="shared" si="30"/>
        <v>365</v>
      </c>
      <c r="V384" s="311">
        <f t="shared" si="31"/>
        <v>730</v>
      </c>
      <c r="W384" s="140">
        <f t="shared" si="32"/>
        <v>0</v>
      </c>
      <c r="X384" s="141">
        <f t="shared" si="33"/>
        <v>0</v>
      </c>
      <c r="Y384" s="141">
        <v>0</v>
      </c>
    </row>
    <row r="385" spans="1:25" ht="15" x14ac:dyDescent="0.2">
      <c r="A385" s="276" t="s">
        <v>1163</v>
      </c>
      <c r="B385" s="23" t="s">
        <v>328</v>
      </c>
      <c r="C385" s="32" t="s">
        <v>187</v>
      </c>
      <c r="D385" s="139" t="str">
        <f>VLOOKUP(C385,'Seznam HS - nemaš'!$A$1:$B$96,2,FALSE)</f>
        <v>430101</v>
      </c>
      <c r="E385" s="22" t="s">
        <v>1177</v>
      </c>
      <c r="F385" s="30" t="s">
        <v>567</v>
      </c>
      <c r="G385" s="30" t="s">
        <v>872</v>
      </c>
      <c r="H385" s="28">
        <f>+IF(ISBLANK(I385),0,VLOOKUP(I385,'8Příloha_2_ceník_pravid_úklid'!$B$9:$C$30,2,0))</f>
        <v>1</v>
      </c>
      <c r="I385" s="143" t="s">
        <v>78</v>
      </c>
      <c r="J385" s="145">
        <v>26.84</v>
      </c>
      <c r="K385" s="275" t="s">
        <v>51</v>
      </c>
      <c r="L385" s="156" t="s">
        <v>537</v>
      </c>
      <c r="M385" s="22" t="s">
        <v>49</v>
      </c>
      <c r="N385" s="24">
        <f>IF((VLOOKUP(I385,'8Příloha_2_ceník_pravid_úklid'!$B$9:$I$30,8,0))=0,VLOOKUP(I385,'8Příloha_2_ceník_pravid_úklid'!$B$9:$K$30,10,0),VLOOKUP(I385,'8Příloha_2_ceník_pravid_úklid'!$B$9:$I$30,8,0))</f>
        <v>0</v>
      </c>
      <c r="O385" s="20">
        <v>1</v>
      </c>
      <c r="P385" s="20">
        <v>1</v>
      </c>
      <c r="Q385" s="20">
        <v>1</v>
      </c>
      <c r="R385" s="20">
        <v>1</v>
      </c>
      <c r="S385" s="21">
        <f>NETWORKDAYS.INTL(DATE(2018,1,1),DATE(2018,12,31),1,{"2018/1/1";"2018/3/30";"2018/4/2";"2018/5/1";"2018/5/8";"2018/7/5";"2018/7/6";"2018/09/28";"2018/11/17";"2018/12/24";"2018/12/25";"2018/12/26"})</f>
        <v>250</v>
      </c>
      <c r="T385" s="21">
        <f t="shared" si="29"/>
        <v>115</v>
      </c>
      <c r="U385" s="21">
        <f t="shared" si="30"/>
        <v>365</v>
      </c>
      <c r="V385" s="311">
        <f t="shared" si="31"/>
        <v>365</v>
      </c>
      <c r="W385" s="140">
        <f t="shared" si="32"/>
        <v>0</v>
      </c>
      <c r="X385" s="141">
        <f t="shared" si="33"/>
        <v>0</v>
      </c>
      <c r="Y385" s="141">
        <v>0</v>
      </c>
    </row>
    <row r="386" spans="1:25" ht="15" x14ac:dyDescent="0.2">
      <c r="A386" s="276" t="s">
        <v>1163</v>
      </c>
      <c r="B386" s="23" t="s">
        <v>328</v>
      </c>
      <c r="C386" s="32" t="s">
        <v>187</v>
      </c>
      <c r="D386" s="139" t="str">
        <f>VLOOKUP(C386,'Seznam HS - nemaš'!$A$1:$B$96,2,FALSE)</f>
        <v>430101</v>
      </c>
      <c r="E386" s="22" t="s">
        <v>1178</v>
      </c>
      <c r="F386" s="30" t="s">
        <v>724</v>
      </c>
      <c r="G386" s="30"/>
      <c r="H386" s="28">
        <f>+IF(ISBLANK(I386),0,VLOOKUP(I386,'8Příloha_2_ceník_pravid_úklid'!$B$9:$C$30,2,0))</f>
        <v>7</v>
      </c>
      <c r="I386" s="143" t="s">
        <v>14</v>
      </c>
      <c r="J386" s="145">
        <v>3.18</v>
      </c>
      <c r="K386" s="275" t="s">
        <v>50</v>
      </c>
      <c r="L386" s="156" t="s">
        <v>22</v>
      </c>
      <c r="M386" s="22" t="s">
        <v>49</v>
      </c>
      <c r="N386" s="24">
        <f>IF((VLOOKUP(I386,'8Příloha_2_ceník_pravid_úklid'!$B$9:$I$30,8,0))=0,VLOOKUP(I386,'8Příloha_2_ceník_pravid_úklid'!$B$9:$K$30,10,0),VLOOKUP(I386,'8Příloha_2_ceník_pravid_úklid'!$B$9:$I$30,8,0))</f>
        <v>0</v>
      </c>
      <c r="O386" s="20">
        <v>2</v>
      </c>
      <c r="P386" s="20">
        <v>1</v>
      </c>
      <c r="Q386" s="20">
        <v>2</v>
      </c>
      <c r="R386" s="20">
        <v>1</v>
      </c>
      <c r="S386" s="21">
        <f>NETWORKDAYS.INTL(DATE(2018,1,1),DATE(2018,12,31),1,{"2018/1/1";"2018/3/30";"2018/4/2";"2018/5/1";"2018/5/8";"2018/7/5";"2018/7/6";"2018/09/28";"2018/11/17";"2018/12/24";"2018/12/25";"2018/12/26"})</f>
        <v>250</v>
      </c>
      <c r="T386" s="21">
        <f t="shared" si="29"/>
        <v>115</v>
      </c>
      <c r="U386" s="21">
        <f t="shared" si="30"/>
        <v>365</v>
      </c>
      <c r="V386" s="311">
        <f t="shared" si="31"/>
        <v>730</v>
      </c>
      <c r="W386" s="140">
        <f t="shared" si="32"/>
        <v>0</v>
      </c>
      <c r="X386" s="141">
        <f t="shared" si="33"/>
        <v>0</v>
      </c>
      <c r="Y386" s="141">
        <v>0</v>
      </c>
    </row>
    <row r="387" spans="1:25" ht="15" x14ac:dyDescent="0.2">
      <c r="A387" s="276" t="s">
        <v>1163</v>
      </c>
      <c r="B387" s="23" t="s">
        <v>328</v>
      </c>
      <c r="C387" s="32" t="s">
        <v>187</v>
      </c>
      <c r="D387" s="139" t="str">
        <f>VLOOKUP(C387,'Seznam HS - nemaš'!$A$1:$B$96,2,FALSE)</f>
        <v>430101</v>
      </c>
      <c r="E387" s="22" t="s">
        <v>1179</v>
      </c>
      <c r="F387" s="30" t="s">
        <v>724</v>
      </c>
      <c r="G387" s="30"/>
      <c r="H387" s="28">
        <f>+IF(ISBLANK(I387),0,VLOOKUP(I387,'8Příloha_2_ceník_pravid_úklid'!$B$9:$C$30,2,0))</f>
        <v>7</v>
      </c>
      <c r="I387" s="143" t="s">
        <v>14</v>
      </c>
      <c r="J387" s="145">
        <v>3.43</v>
      </c>
      <c r="K387" s="275" t="s">
        <v>50</v>
      </c>
      <c r="L387" s="156" t="s">
        <v>22</v>
      </c>
      <c r="M387" s="22" t="s">
        <v>49</v>
      </c>
      <c r="N387" s="24">
        <f>IF((VLOOKUP(I387,'8Příloha_2_ceník_pravid_úklid'!$B$9:$I$30,8,0))=0,VLOOKUP(I387,'8Příloha_2_ceník_pravid_úklid'!$B$9:$K$30,10,0),VLOOKUP(I387,'8Příloha_2_ceník_pravid_úklid'!$B$9:$I$30,8,0))</f>
        <v>0</v>
      </c>
      <c r="O387" s="20">
        <v>2</v>
      </c>
      <c r="P387" s="20">
        <v>1</v>
      </c>
      <c r="Q387" s="20">
        <v>2</v>
      </c>
      <c r="R387" s="20">
        <v>1</v>
      </c>
      <c r="S387" s="21">
        <f>NETWORKDAYS.INTL(DATE(2018,1,1),DATE(2018,12,31),1,{"2018/1/1";"2018/3/30";"2018/4/2";"2018/5/1";"2018/5/8";"2018/7/5";"2018/7/6";"2018/09/28";"2018/11/17";"2018/12/24";"2018/12/25";"2018/12/26"})</f>
        <v>250</v>
      </c>
      <c r="T387" s="21">
        <f t="shared" si="29"/>
        <v>115</v>
      </c>
      <c r="U387" s="21">
        <f t="shared" si="30"/>
        <v>365</v>
      </c>
      <c r="V387" s="311">
        <f t="shared" si="31"/>
        <v>730</v>
      </c>
      <c r="W387" s="140">
        <f t="shared" si="32"/>
        <v>0</v>
      </c>
      <c r="X387" s="141">
        <f t="shared" si="33"/>
        <v>0</v>
      </c>
      <c r="Y387" s="141">
        <v>0</v>
      </c>
    </row>
    <row r="388" spans="1:25" ht="15" x14ac:dyDescent="0.2">
      <c r="A388" s="276" t="s">
        <v>1163</v>
      </c>
      <c r="B388" s="23" t="s">
        <v>328</v>
      </c>
      <c r="C388" s="32" t="s">
        <v>187</v>
      </c>
      <c r="D388" s="139" t="str">
        <f>VLOOKUP(C388,'Seznam HS - nemaš'!$A$1:$B$96,2,FALSE)</f>
        <v>430101</v>
      </c>
      <c r="E388" s="22" t="s">
        <v>1180</v>
      </c>
      <c r="F388" s="30" t="s">
        <v>567</v>
      </c>
      <c r="G388" s="30" t="s">
        <v>568</v>
      </c>
      <c r="H388" s="28">
        <f>+IF(ISBLANK(I388),0,VLOOKUP(I388,'8Příloha_2_ceník_pravid_úklid'!$B$9:$C$30,2,0))</f>
        <v>1</v>
      </c>
      <c r="I388" s="143" t="s">
        <v>78</v>
      </c>
      <c r="J388" s="145">
        <v>16.54</v>
      </c>
      <c r="K388" s="275" t="s">
        <v>51</v>
      </c>
      <c r="L388" s="156" t="s">
        <v>537</v>
      </c>
      <c r="M388" s="22" t="s">
        <v>49</v>
      </c>
      <c r="N388" s="24">
        <f>IF((VLOOKUP(I388,'8Příloha_2_ceník_pravid_úklid'!$B$9:$I$30,8,0))=0,VLOOKUP(I388,'8Příloha_2_ceník_pravid_úklid'!$B$9:$K$30,10,0),VLOOKUP(I388,'8Příloha_2_ceník_pravid_úklid'!$B$9:$I$30,8,0))</f>
        <v>0</v>
      </c>
      <c r="O388" s="20">
        <v>1</v>
      </c>
      <c r="P388" s="20">
        <v>1</v>
      </c>
      <c r="Q388" s="20">
        <v>1</v>
      </c>
      <c r="R388" s="20">
        <v>1</v>
      </c>
      <c r="S388" s="21">
        <f>NETWORKDAYS.INTL(DATE(2018,1,1),DATE(2018,12,31),1,{"2018/1/1";"2018/3/30";"2018/4/2";"2018/5/1";"2018/5/8";"2018/7/5";"2018/7/6";"2018/09/28";"2018/11/17";"2018/12/24";"2018/12/25";"2018/12/26"})</f>
        <v>250</v>
      </c>
      <c r="T388" s="21">
        <f t="shared" si="29"/>
        <v>115</v>
      </c>
      <c r="U388" s="21">
        <f t="shared" si="30"/>
        <v>365</v>
      </c>
      <c r="V388" s="311">
        <f t="shared" si="31"/>
        <v>365</v>
      </c>
      <c r="W388" s="140">
        <f t="shared" si="32"/>
        <v>0</v>
      </c>
      <c r="X388" s="141">
        <f t="shared" si="33"/>
        <v>0</v>
      </c>
      <c r="Y388" s="141">
        <v>0</v>
      </c>
    </row>
    <row r="389" spans="1:25" ht="15" x14ac:dyDescent="0.2">
      <c r="A389" s="276" t="s">
        <v>1163</v>
      </c>
      <c r="B389" s="23" t="s">
        <v>328</v>
      </c>
      <c r="C389" s="32" t="s">
        <v>187</v>
      </c>
      <c r="D389" s="139" t="str">
        <f>VLOOKUP(C389,'Seznam HS - nemaš'!$A$1:$B$96,2,FALSE)</f>
        <v>430101</v>
      </c>
      <c r="E389" s="22" t="s">
        <v>1181</v>
      </c>
      <c r="F389" s="30" t="s">
        <v>53</v>
      </c>
      <c r="G389" s="30"/>
      <c r="H389" s="28">
        <f>+IF(ISBLANK(I389),0,VLOOKUP(I389,'8Příloha_2_ceník_pravid_úklid'!$B$9:$C$30,2,0))</f>
        <v>6</v>
      </c>
      <c r="I389" s="143" t="s">
        <v>1</v>
      </c>
      <c r="J389" s="145">
        <v>42.95</v>
      </c>
      <c r="K389" s="275" t="s">
        <v>51</v>
      </c>
      <c r="L389" s="156" t="s">
        <v>22</v>
      </c>
      <c r="M389" s="22" t="s">
        <v>49</v>
      </c>
      <c r="N389" s="24">
        <f>IF((VLOOKUP(I389,'8Příloha_2_ceník_pravid_úklid'!$B$9:$I$30,8,0))=0,VLOOKUP(I389,'8Příloha_2_ceník_pravid_úklid'!$B$9:$K$30,10,0),VLOOKUP(I389,'8Příloha_2_ceník_pravid_úklid'!$B$9:$I$30,8,0))</f>
        <v>0</v>
      </c>
      <c r="O389" s="20">
        <v>2</v>
      </c>
      <c r="P389" s="20">
        <v>1</v>
      </c>
      <c r="Q389" s="20">
        <v>2</v>
      </c>
      <c r="R389" s="20">
        <v>1</v>
      </c>
      <c r="S389" s="21">
        <f>NETWORKDAYS.INTL(DATE(2018,1,1),DATE(2018,12,31),1,{"2018/1/1";"2018/3/30";"2018/4/2";"2018/5/1";"2018/5/8";"2018/7/5";"2018/7/6";"2018/09/28";"2018/11/17";"2018/12/24";"2018/12/25";"2018/12/26"})</f>
        <v>250</v>
      </c>
      <c r="T389" s="21">
        <f t="shared" si="29"/>
        <v>115</v>
      </c>
      <c r="U389" s="21">
        <f t="shared" si="30"/>
        <v>365</v>
      </c>
      <c r="V389" s="311">
        <f t="shared" si="31"/>
        <v>730</v>
      </c>
      <c r="W389" s="140">
        <f t="shared" si="32"/>
        <v>0</v>
      </c>
      <c r="X389" s="141">
        <f t="shared" si="33"/>
        <v>0</v>
      </c>
      <c r="Y389" s="141">
        <v>0</v>
      </c>
    </row>
    <row r="390" spans="1:25" ht="15" x14ac:dyDescent="0.2">
      <c r="A390" s="276" t="s">
        <v>1163</v>
      </c>
      <c r="B390" s="23" t="s">
        <v>328</v>
      </c>
      <c r="C390" s="32" t="s">
        <v>187</v>
      </c>
      <c r="D390" s="139" t="str">
        <f>VLOOKUP(C390,'Seznam HS - nemaš'!$A$1:$B$96,2,FALSE)</f>
        <v>430101</v>
      </c>
      <c r="E390" s="22" t="s">
        <v>1182</v>
      </c>
      <c r="F390" s="30" t="s">
        <v>53</v>
      </c>
      <c r="G390" s="30"/>
      <c r="H390" s="28">
        <f>+IF(ISBLANK(I390),0,VLOOKUP(I390,'8Příloha_2_ceník_pravid_úklid'!$B$9:$C$30,2,0))</f>
        <v>6</v>
      </c>
      <c r="I390" s="143" t="s">
        <v>1</v>
      </c>
      <c r="J390" s="145">
        <v>12.24</v>
      </c>
      <c r="K390" s="275" t="s">
        <v>51</v>
      </c>
      <c r="L390" s="156" t="s">
        <v>22</v>
      </c>
      <c r="M390" s="22" t="s">
        <v>49</v>
      </c>
      <c r="N390" s="24">
        <f>IF((VLOOKUP(I390,'8Příloha_2_ceník_pravid_úklid'!$B$9:$I$30,8,0))=0,VLOOKUP(I390,'8Příloha_2_ceník_pravid_úklid'!$B$9:$K$30,10,0),VLOOKUP(I390,'8Příloha_2_ceník_pravid_úklid'!$B$9:$I$30,8,0))</f>
        <v>0</v>
      </c>
      <c r="O390" s="20">
        <v>2</v>
      </c>
      <c r="P390" s="20">
        <v>1</v>
      </c>
      <c r="Q390" s="20">
        <v>2</v>
      </c>
      <c r="R390" s="20">
        <v>1</v>
      </c>
      <c r="S390" s="21">
        <f>NETWORKDAYS.INTL(DATE(2018,1,1),DATE(2018,12,31),1,{"2018/1/1";"2018/3/30";"2018/4/2";"2018/5/1";"2018/5/8";"2018/7/5";"2018/7/6";"2018/09/28";"2018/11/17";"2018/12/24";"2018/12/25";"2018/12/26"})</f>
        <v>250</v>
      </c>
      <c r="T390" s="21">
        <f t="shared" ref="T390:T453" si="34">U390-S390</f>
        <v>115</v>
      </c>
      <c r="U390" s="21">
        <f t="shared" ref="U390:U453" si="35">_xlfn.DAYS("1.1.2019","1.1.2018")</f>
        <v>365</v>
      </c>
      <c r="V390" s="311">
        <f t="shared" ref="V390:V453" si="36">ROUND(O390*P390*S390+Q390*R390*T390,2)</f>
        <v>730</v>
      </c>
      <c r="W390" s="140">
        <f t="shared" ref="W390:W453" si="37">ROUND(IF(N390="neoceňuje se",+J390*0*V390,J390*N390*V390),2)</f>
        <v>0</v>
      </c>
      <c r="X390" s="141">
        <f t="shared" ref="X390:Y453" si="38">ROUND(W390*1.21,2)</f>
        <v>0</v>
      </c>
      <c r="Y390" s="141">
        <v>0</v>
      </c>
    </row>
    <row r="391" spans="1:25" ht="15" x14ac:dyDescent="0.2">
      <c r="A391" s="276" t="s">
        <v>1163</v>
      </c>
      <c r="B391" s="23" t="s">
        <v>328</v>
      </c>
      <c r="C391" s="32" t="s">
        <v>187</v>
      </c>
      <c r="D391" s="139" t="str">
        <f>VLOOKUP(C391,'Seznam HS - nemaš'!$A$1:$B$96,2,FALSE)</f>
        <v>430101</v>
      </c>
      <c r="E391" s="22" t="s">
        <v>1183</v>
      </c>
      <c r="F391" s="30" t="s">
        <v>552</v>
      </c>
      <c r="G391" s="30"/>
      <c r="H391" s="28">
        <f>+IF(ISBLANK(I391),0,VLOOKUP(I391,'8Příloha_2_ceník_pravid_úklid'!$B$9:$C$30,2,0))</f>
        <v>16</v>
      </c>
      <c r="I391" s="143" t="s">
        <v>6</v>
      </c>
      <c r="J391" s="145">
        <v>6.39</v>
      </c>
      <c r="K391" s="275" t="s">
        <v>51</v>
      </c>
      <c r="L391" s="156" t="s">
        <v>22</v>
      </c>
      <c r="M391" s="22" t="s">
        <v>49</v>
      </c>
      <c r="N391" s="24">
        <f>IF((VLOOKUP(I391,'8Příloha_2_ceník_pravid_úklid'!$B$9:$I$30,8,0))=0,VLOOKUP(I391,'8Příloha_2_ceník_pravid_úklid'!$B$9:$K$30,10,0),VLOOKUP(I391,'8Příloha_2_ceník_pravid_úklid'!$B$9:$I$30,8,0))</f>
        <v>0</v>
      </c>
      <c r="O391" s="20">
        <v>2</v>
      </c>
      <c r="P391" s="20">
        <v>1</v>
      </c>
      <c r="Q391" s="20">
        <v>2</v>
      </c>
      <c r="R391" s="20">
        <v>1</v>
      </c>
      <c r="S391" s="21">
        <f>NETWORKDAYS.INTL(DATE(2018,1,1),DATE(2018,12,31),1,{"2018/1/1";"2018/3/30";"2018/4/2";"2018/5/1";"2018/5/8";"2018/7/5";"2018/7/6";"2018/09/28";"2018/11/17";"2018/12/24";"2018/12/25";"2018/12/26"})</f>
        <v>250</v>
      </c>
      <c r="T391" s="21">
        <f t="shared" si="34"/>
        <v>115</v>
      </c>
      <c r="U391" s="21">
        <f t="shared" si="35"/>
        <v>365</v>
      </c>
      <c r="V391" s="311">
        <f t="shared" si="36"/>
        <v>730</v>
      </c>
      <c r="W391" s="140">
        <f t="shared" si="37"/>
        <v>0</v>
      </c>
      <c r="X391" s="141">
        <f t="shared" si="38"/>
        <v>0</v>
      </c>
      <c r="Y391" s="141">
        <v>0</v>
      </c>
    </row>
    <row r="392" spans="1:25" ht="15" x14ac:dyDescent="0.2">
      <c r="A392" s="276" t="s">
        <v>1163</v>
      </c>
      <c r="B392" s="23" t="s">
        <v>328</v>
      </c>
      <c r="C392" s="32" t="s">
        <v>187</v>
      </c>
      <c r="D392" s="139" t="str">
        <f>VLOOKUP(C392,'Seznam HS - nemaš'!$A$1:$B$96,2,FALSE)</f>
        <v>430101</v>
      </c>
      <c r="E392" s="22" t="s">
        <v>1184</v>
      </c>
      <c r="F392" s="30" t="s">
        <v>389</v>
      </c>
      <c r="G392" s="30"/>
      <c r="H392" s="28">
        <f>+IF(ISBLANK(I392),0,VLOOKUP(I392,'8Příloha_2_ceník_pravid_úklid'!$B$9:$C$30,2,0))</f>
        <v>17</v>
      </c>
      <c r="I392" s="143" t="s">
        <v>13</v>
      </c>
      <c r="J392" s="145">
        <v>4.3499999999999996</v>
      </c>
      <c r="K392" s="275" t="s">
        <v>51</v>
      </c>
      <c r="L392" s="156" t="s">
        <v>537</v>
      </c>
      <c r="M392" s="22" t="s">
        <v>49</v>
      </c>
      <c r="N392" s="24">
        <f>IF((VLOOKUP(I392,'8Příloha_2_ceník_pravid_úklid'!$B$9:$I$30,8,0))=0,VLOOKUP(I392,'8Příloha_2_ceník_pravid_úklid'!$B$9:$K$30,10,0),VLOOKUP(I392,'8Příloha_2_ceník_pravid_úklid'!$B$9:$I$30,8,0))</f>
        <v>0</v>
      </c>
      <c r="O392" s="20">
        <v>1</v>
      </c>
      <c r="P392" s="20">
        <v>1</v>
      </c>
      <c r="Q392" s="20">
        <v>1</v>
      </c>
      <c r="R392" s="20">
        <v>1</v>
      </c>
      <c r="S392" s="21">
        <f>NETWORKDAYS.INTL(DATE(2018,1,1),DATE(2018,12,31),1,{"2018/1/1";"2018/3/30";"2018/4/2";"2018/5/1";"2018/5/8";"2018/7/5";"2018/7/6";"2018/09/28";"2018/11/17";"2018/12/24";"2018/12/25";"2018/12/26"})</f>
        <v>250</v>
      </c>
      <c r="T392" s="21">
        <f t="shared" si="34"/>
        <v>115</v>
      </c>
      <c r="U392" s="21">
        <f t="shared" si="35"/>
        <v>365</v>
      </c>
      <c r="V392" s="311">
        <f t="shared" si="36"/>
        <v>365</v>
      </c>
      <c r="W392" s="140">
        <f t="shared" si="37"/>
        <v>0</v>
      </c>
      <c r="X392" s="141">
        <f t="shared" si="38"/>
        <v>0</v>
      </c>
      <c r="Y392" s="141">
        <v>0</v>
      </c>
    </row>
    <row r="393" spans="1:25" ht="15" x14ac:dyDescent="0.2">
      <c r="A393" s="276" t="s">
        <v>1163</v>
      </c>
      <c r="B393" s="23" t="s">
        <v>328</v>
      </c>
      <c r="C393" s="32" t="s">
        <v>187</v>
      </c>
      <c r="D393" s="139" t="str">
        <f>VLOOKUP(C393,'Seznam HS - nemaš'!$A$1:$B$96,2,FALSE)</f>
        <v>430101</v>
      </c>
      <c r="E393" s="22" t="s">
        <v>1185</v>
      </c>
      <c r="F393" s="30" t="s">
        <v>389</v>
      </c>
      <c r="G393" s="30"/>
      <c r="H393" s="28">
        <f>+IF(ISBLANK(I393),0,VLOOKUP(I393,'8Příloha_2_ceník_pravid_úklid'!$B$9:$C$30,2,0))</f>
        <v>17</v>
      </c>
      <c r="I393" s="143" t="s">
        <v>13</v>
      </c>
      <c r="J393" s="145">
        <v>4.4800000000000004</v>
      </c>
      <c r="K393" s="275" t="s">
        <v>51</v>
      </c>
      <c r="L393" s="156" t="s">
        <v>537</v>
      </c>
      <c r="M393" s="22" t="s">
        <v>49</v>
      </c>
      <c r="N393" s="24">
        <f>IF((VLOOKUP(I393,'8Příloha_2_ceník_pravid_úklid'!$B$9:$I$30,8,0))=0,VLOOKUP(I393,'8Příloha_2_ceník_pravid_úklid'!$B$9:$K$30,10,0),VLOOKUP(I393,'8Příloha_2_ceník_pravid_úklid'!$B$9:$I$30,8,0))</f>
        <v>0</v>
      </c>
      <c r="O393" s="20">
        <v>1</v>
      </c>
      <c r="P393" s="20">
        <v>1</v>
      </c>
      <c r="Q393" s="20">
        <v>1</v>
      </c>
      <c r="R393" s="20">
        <v>1</v>
      </c>
      <c r="S393" s="21">
        <f>NETWORKDAYS.INTL(DATE(2018,1,1),DATE(2018,12,31),1,{"2018/1/1";"2018/3/30";"2018/4/2";"2018/5/1";"2018/5/8";"2018/7/5";"2018/7/6";"2018/09/28";"2018/11/17";"2018/12/24";"2018/12/25";"2018/12/26"})</f>
        <v>250</v>
      </c>
      <c r="T393" s="21">
        <f t="shared" si="34"/>
        <v>115</v>
      </c>
      <c r="U393" s="21">
        <f t="shared" si="35"/>
        <v>365</v>
      </c>
      <c r="V393" s="311">
        <f t="shared" si="36"/>
        <v>365</v>
      </c>
      <c r="W393" s="140">
        <f t="shared" si="37"/>
        <v>0</v>
      </c>
      <c r="X393" s="141">
        <f t="shared" si="38"/>
        <v>0</v>
      </c>
      <c r="Y393" s="141">
        <v>0</v>
      </c>
    </row>
    <row r="394" spans="1:25" ht="15" x14ac:dyDescent="0.2">
      <c r="A394" s="276" t="s">
        <v>1163</v>
      </c>
      <c r="B394" s="23" t="s">
        <v>328</v>
      </c>
      <c r="C394" s="32" t="s">
        <v>187</v>
      </c>
      <c r="D394" s="139" t="str">
        <f>VLOOKUP(C394,'Seznam HS - nemaš'!$A$1:$B$96,2,FALSE)</f>
        <v>430101</v>
      </c>
      <c r="E394" s="22" t="s">
        <v>1186</v>
      </c>
      <c r="F394" s="30" t="s">
        <v>893</v>
      </c>
      <c r="G394" s="30"/>
      <c r="H394" s="28">
        <f>+IF(ISBLANK(I394),0,VLOOKUP(I394,'8Příloha_2_ceník_pravid_úklid'!$B$9:$C$30,2,0))</f>
        <v>7</v>
      </c>
      <c r="I394" s="143" t="s">
        <v>14</v>
      </c>
      <c r="J394" s="145">
        <v>5.54</v>
      </c>
      <c r="K394" s="275" t="s">
        <v>50</v>
      </c>
      <c r="L394" s="156" t="s">
        <v>22</v>
      </c>
      <c r="M394" s="22" t="s">
        <v>49</v>
      </c>
      <c r="N394" s="24">
        <f>IF((VLOOKUP(I394,'8Příloha_2_ceník_pravid_úklid'!$B$9:$I$30,8,0))=0,VLOOKUP(I394,'8Příloha_2_ceník_pravid_úklid'!$B$9:$K$30,10,0),VLOOKUP(I394,'8Příloha_2_ceník_pravid_úklid'!$B$9:$I$30,8,0))</f>
        <v>0</v>
      </c>
      <c r="O394" s="20">
        <v>2</v>
      </c>
      <c r="P394" s="20">
        <v>1</v>
      </c>
      <c r="Q394" s="20">
        <v>2</v>
      </c>
      <c r="R394" s="20">
        <v>1</v>
      </c>
      <c r="S394" s="21">
        <f>NETWORKDAYS.INTL(DATE(2018,1,1),DATE(2018,12,31),1,{"2018/1/1";"2018/3/30";"2018/4/2";"2018/5/1";"2018/5/8";"2018/7/5";"2018/7/6";"2018/09/28";"2018/11/17";"2018/12/24";"2018/12/25";"2018/12/26"})</f>
        <v>250</v>
      </c>
      <c r="T394" s="21">
        <f t="shared" si="34"/>
        <v>115</v>
      </c>
      <c r="U394" s="21">
        <f t="shared" si="35"/>
        <v>365</v>
      </c>
      <c r="V394" s="311">
        <f t="shared" si="36"/>
        <v>730</v>
      </c>
      <c r="W394" s="140">
        <f t="shared" si="37"/>
        <v>0</v>
      </c>
      <c r="X394" s="141">
        <f t="shared" si="38"/>
        <v>0</v>
      </c>
      <c r="Y394" s="141">
        <v>0</v>
      </c>
    </row>
    <row r="395" spans="1:25" ht="15" x14ac:dyDescent="0.2">
      <c r="A395" s="276" t="s">
        <v>1163</v>
      </c>
      <c r="B395" s="23" t="s">
        <v>328</v>
      </c>
      <c r="C395" s="32" t="s">
        <v>187</v>
      </c>
      <c r="D395" s="139" t="str">
        <f>VLOOKUP(C395,'Seznam HS - nemaš'!$A$1:$B$96,2,FALSE)</f>
        <v>430101</v>
      </c>
      <c r="E395" s="22" t="s">
        <v>1187</v>
      </c>
      <c r="F395" s="30" t="s">
        <v>437</v>
      </c>
      <c r="G395" s="30" t="s">
        <v>444</v>
      </c>
      <c r="H395" s="28">
        <f>+IF(ISBLANK(I395),0,VLOOKUP(I395,'8Příloha_2_ceník_pravid_úklid'!$B$9:$C$30,2,0))</f>
        <v>7</v>
      </c>
      <c r="I395" s="143" t="s">
        <v>14</v>
      </c>
      <c r="J395" s="145">
        <v>5.04</v>
      </c>
      <c r="K395" s="275" t="s">
        <v>50</v>
      </c>
      <c r="L395" s="156" t="s">
        <v>22</v>
      </c>
      <c r="M395" s="22" t="s">
        <v>49</v>
      </c>
      <c r="N395" s="24">
        <f>IF((VLOOKUP(I395,'8Příloha_2_ceník_pravid_úklid'!$B$9:$I$30,8,0))=0,VLOOKUP(I395,'8Příloha_2_ceník_pravid_úklid'!$B$9:$K$30,10,0),VLOOKUP(I395,'8Příloha_2_ceník_pravid_úklid'!$B$9:$I$30,8,0))</f>
        <v>0</v>
      </c>
      <c r="O395" s="20">
        <v>2</v>
      </c>
      <c r="P395" s="20">
        <v>1</v>
      </c>
      <c r="Q395" s="20">
        <v>2</v>
      </c>
      <c r="R395" s="20">
        <v>1</v>
      </c>
      <c r="S395" s="21">
        <f>NETWORKDAYS.INTL(DATE(2018,1,1),DATE(2018,12,31),1,{"2018/1/1";"2018/3/30";"2018/4/2";"2018/5/1";"2018/5/8";"2018/7/5";"2018/7/6";"2018/09/28";"2018/11/17";"2018/12/24";"2018/12/25";"2018/12/26"})</f>
        <v>250</v>
      </c>
      <c r="T395" s="21">
        <f t="shared" si="34"/>
        <v>115</v>
      </c>
      <c r="U395" s="21">
        <f t="shared" si="35"/>
        <v>365</v>
      </c>
      <c r="V395" s="311">
        <f t="shared" si="36"/>
        <v>730</v>
      </c>
      <c r="W395" s="140">
        <f t="shared" si="37"/>
        <v>0</v>
      </c>
      <c r="X395" s="141">
        <f t="shared" si="38"/>
        <v>0</v>
      </c>
      <c r="Y395" s="141">
        <v>0</v>
      </c>
    </row>
    <row r="396" spans="1:25" ht="15" x14ac:dyDescent="0.2">
      <c r="A396" s="276" t="s">
        <v>1163</v>
      </c>
      <c r="B396" s="23" t="s">
        <v>328</v>
      </c>
      <c r="C396" s="32" t="s">
        <v>187</v>
      </c>
      <c r="D396" s="139" t="str">
        <f>VLOOKUP(C396,'Seznam HS - nemaš'!$A$1:$B$96,2,FALSE)</f>
        <v>430101</v>
      </c>
      <c r="E396" s="22" t="s">
        <v>1188</v>
      </c>
      <c r="F396" s="30" t="s">
        <v>437</v>
      </c>
      <c r="G396" s="30"/>
      <c r="H396" s="28">
        <f>+IF(ISBLANK(I396),0,VLOOKUP(I396,'8Příloha_2_ceník_pravid_úklid'!$B$9:$C$30,2,0))</f>
        <v>7</v>
      </c>
      <c r="I396" s="143" t="s">
        <v>14</v>
      </c>
      <c r="J396" s="145">
        <v>1.52</v>
      </c>
      <c r="K396" s="275" t="s">
        <v>50</v>
      </c>
      <c r="L396" s="156" t="s">
        <v>22</v>
      </c>
      <c r="M396" s="22" t="s">
        <v>49</v>
      </c>
      <c r="N396" s="24">
        <f>IF((VLOOKUP(I396,'8Příloha_2_ceník_pravid_úklid'!$B$9:$I$30,8,0))=0,VLOOKUP(I396,'8Příloha_2_ceník_pravid_úklid'!$B$9:$K$30,10,0),VLOOKUP(I396,'8Příloha_2_ceník_pravid_úklid'!$B$9:$I$30,8,0))</f>
        <v>0</v>
      </c>
      <c r="O396" s="20">
        <v>2</v>
      </c>
      <c r="P396" s="20">
        <v>1</v>
      </c>
      <c r="Q396" s="20">
        <v>2</v>
      </c>
      <c r="R396" s="20">
        <v>1</v>
      </c>
      <c r="S396" s="21">
        <f>NETWORKDAYS.INTL(DATE(2018,1,1),DATE(2018,12,31),1,{"2018/1/1";"2018/3/30";"2018/4/2";"2018/5/1";"2018/5/8";"2018/7/5";"2018/7/6";"2018/09/28";"2018/11/17";"2018/12/24";"2018/12/25";"2018/12/26"})</f>
        <v>250</v>
      </c>
      <c r="T396" s="21">
        <f t="shared" si="34"/>
        <v>115</v>
      </c>
      <c r="U396" s="21">
        <f t="shared" si="35"/>
        <v>365</v>
      </c>
      <c r="V396" s="311">
        <f t="shared" si="36"/>
        <v>730</v>
      </c>
      <c r="W396" s="140">
        <f t="shared" si="37"/>
        <v>0</v>
      </c>
      <c r="X396" s="141">
        <f t="shared" si="38"/>
        <v>0</v>
      </c>
      <c r="Y396" s="141">
        <v>0</v>
      </c>
    </row>
    <row r="397" spans="1:25" ht="15" x14ac:dyDescent="0.2">
      <c r="A397" s="235" t="s">
        <v>1163</v>
      </c>
      <c r="B397" s="236" t="s">
        <v>328</v>
      </c>
      <c r="C397" s="222" t="s">
        <v>187</v>
      </c>
      <c r="D397" s="535" t="str">
        <f>VLOOKUP(C397,'Seznam HS - nemaš'!$A$1:$B$96,2,FALSE)</f>
        <v>430101</v>
      </c>
      <c r="E397" s="237" t="s">
        <v>1189</v>
      </c>
      <c r="F397" s="303" t="s">
        <v>554</v>
      </c>
      <c r="G397" s="303"/>
      <c r="H397" s="224">
        <f>+IF(ISBLANK(I397),0,VLOOKUP(I397,'8Příloha_2_ceník_pravid_úklid'!$B$9:$C$30,2,0))</f>
        <v>0</v>
      </c>
      <c r="I397" s="273"/>
      <c r="J397" s="241">
        <v>1.27</v>
      </c>
      <c r="K397" s="240" t="s">
        <v>50</v>
      </c>
      <c r="L397" s="310" t="s">
        <v>66</v>
      </c>
      <c r="M397" s="237" t="s">
        <v>49</v>
      </c>
      <c r="N397" s="229" t="s">
        <v>501</v>
      </c>
      <c r="O397" s="230">
        <v>0</v>
      </c>
      <c r="P397" s="230">
        <v>0</v>
      </c>
      <c r="Q397" s="230">
        <v>0</v>
      </c>
      <c r="R397" s="230">
        <v>0</v>
      </c>
      <c r="S397" s="231">
        <f>NETWORKDAYS.INTL(DATE(2018,1,1),DATE(2018,12,31),1,{"2018/1/1";"2018/3/30";"2018/4/2";"2018/5/1";"2018/5/8";"2018/7/5";"2018/7/6";"2018/09/28";"2018/11/17";"2018/12/24";"2018/12/25";"2018/12/26"})</f>
        <v>250</v>
      </c>
      <c r="T397" s="231">
        <f t="shared" si="34"/>
        <v>115</v>
      </c>
      <c r="U397" s="231">
        <f t="shared" si="35"/>
        <v>365</v>
      </c>
      <c r="V397" s="312">
        <f t="shared" si="36"/>
        <v>0</v>
      </c>
      <c r="W397" s="233">
        <f t="shared" si="37"/>
        <v>0</v>
      </c>
      <c r="X397" s="234">
        <f t="shared" si="38"/>
        <v>0</v>
      </c>
      <c r="Y397" s="234">
        <f t="shared" si="38"/>
        <v>0</v>
      </c>
    </row>
    <row r="398" spans="1:25" ht="15" x14ac:dyDescent="0.2">
      <c r="A398" s="276" t="s">
        <v>1163</v>
      </c>
      <c r="B398" s="23" t="s">
        <v>328</v>
      </c>
      <c r="C398" s="32" t="s">
        <v>187</v>
      </c>
      <c r="D398" s="139" t="str">
        <f>VLOOKUP(C398,'Seznam HS - nemaš'!$A$1:$B$96,2,FALSE)</f>
        <v>430101</v>
      </c>
      <c r="E398" s="22" t="s">
        <v>1190</v>
      </c>
      <c r="F398" s="30" t="s">
        <v>437</v>
      </c>
      <c r="G398" s="30"/>
      <c r="H398" s="28">
        <f>+IF(ISBLANK(I398),0,VLOOKUP(I398,'8Příloha_2_ceník_pravid_úklid'!$B$9:$C$30,2,0))</f>
        <v>7</v>
      </c>
      <c r="I398" s="143" t="s">
        <v>14</v>
      </c>
      <c r="J398" s="145">
        <v>2.57</v>
      </c>
      <c r="K398" s="275" t="s">
        <v>50</v>
      </c>
      <c r="L398" s="156" t="s">
        <v>22</v>
      </c>
      <c r="M398" s="22" t="s">
        <v>49</v>
      </c>
      <c r="N398" s="24">
        <f>IF((VLOOKUP(I398,'8Příloha_2_ceník_pravid_úklid'!$B$9:$I$30,8,0))=0,VLOOKUP(I398,'8Příloha_2_ceník_pravid_úklid'!$B$9:$K$30,10,0),VLOOKUP(I398,'8Příloha_2_ceník_pravid_úklid'!$B$9:$I$30,8,0))</f>
        <v>0</v>
      </c>
      <c r="O398" s="20">
        <v>2</v>
      </c>
      <c r="P398" s="20">
        <v>1</v>
      </c>
      <c r="Q398" s="20">
        <v>2</v>
      </c>
      <c r="R398" s="20">
        <v>1</v>
      </c>
      <c r="S398" s="21">
        <f>NETWORKDAYS.INTL(DATE(2018,1,1),DATE(2018,12,31),1,{"2018/1/1";"2018/3/30";"2018/4/2";"2018/5/1";"2018/5/8";"2018/7/5";"2018/7/6";"2018/09/28";"2018/11/17";"2018/12/24";"2018/12/25";"2018/12/26"})</f>
        <v>250</v>
      </c>
      <c r="T398" s="21">
        <f t="shared" si="34"/>
        <v>115</v>
      </c>
      <c r="U398" s="21">
        <f t="shared" si="35"/>
        <v>365</v>
      </c>
      <c r="V398" s="311">
        <f t="shared" si="36"/>
        <v>730</v>
      </c>
      <c r="W398" s="140">
        <f t="shared" si="37"/>
        <v>0</v>
      </c>
      <c r="X398" s="141">
        <f t="shared" si="38"/>
        <v>0</v>
      </c>
      <c r="Y398" s="141">
        <v>0</v>
      </c>
    </row>
    <row r="399" spans="1:25" ht="15" x14ac:dyDescent="0.2">
      <c r="A399" s="276" t="s">
        <v>1163</v>
      </c>
      <c r="B399" s="23" t="s">
        <v>328</v>
      </c>
      <c r="C399" s="32" t="s">
        <v>187</v>
      </c>
      <c r="D399" s="139" t="str">
        <f>VLOOKUP(C399,'Seznam HS - nemaš'!$A$1:$B$96,2,FALSE)</f>
        <v>430101</v>
      </c>
      <c r="E399" s="22" t="s">
        <v>1191</v>
      </c>
      <c r="F399" s="30" t="s">
        <v>561</v>
      </c>
      <c r="G399" s="30"/>
      <c r="H399" s="28">
        <f>+IF(ISBLANK(I399),0,VLOOKUP(I399,'8Příloha_2_ceník_pravid_úklid'!$B$9:$C$30,2,0))</f>
        <v>7</v>
      </c>
      <c r="I399" s="143" t="s">
        <v>14</v>
      </c>
      <c r="J399" s="145">
        <v>10.130000000000001</v>
      </c>
      <c r="K399" s="275" t="s">
        <v>50</v>
      </c>
      <c r="L399" s="156" t="s">
        <v>22</v>
      </c>
      <c r="M399" s="22" t="s">
        <v>49</v>
      </c>
      <c r="N399" s="24">
        <f>IF((VLOOKUP(I399,'8Příloha_2_ceník_pravid_úklid'!$B$9:$I$30,8,0))=0,VLOOKUP(I399,'8Příloha_2_ceník_pravid_úklid'!$B$9:$K$30,10,0),VLOOKUP(I399,'8Příloha_2_ceník_pravid_úklid'!$B$9:$I$30,8,0))</f>
        <v>0</v>
      </c>
      <c r="O399" s="20">
        <v>2</v>
      </c>
      <c r="P399" s="20">
        <v>1</v>
      </c>
      <c r="Q399" s="20">
        <v>2</v>
      </c>
      <c r="R399" s="20">
        <v>1</v>
      </c>
      <c r="S399" s="21">
        <f>NETWORKDAYS.INTL(DATE(2018,1,1),DATE(2018,12,31),1,{"2018/1/1";"2018/3/30";"2018/4/2";"2018/5/1";"2018/5/8";"2018/7/5";"2018/7/6";"2018/09/28";"2018/11/17";"2018/12/24";"2018/12/25";"2018/12/26"})</f>
        <v>250</v>
      </c>
      <c r="T399" s="21">
        <f t="shared" si="34"/>
        <v>115</v>
      </c>
      <c r="U399" s="21">
        <f t="shared" si="35"/>
        <v>365</v>
      </c>
      <c r="V399" s="311">
        <f t="shared" si="36"/>
        <v>730</v>
      </c>
      <c r="W399" s="140">
        <f t="shared" si="37"/>
        <v>0</v>
      </c>
      <c r="X399" s="141">
        <f t="shared" si="38"/>
        <v>0</v>
      </c>
      <c r="Y399" s="141">
        <v>0</v>
      </c>
    </row>
    <row r="400" spans="1:25" ht="15" x14ac:dyDescent="0.2">
      <c r="A400" s="276" t="s">
        <v>1163</v>
      </c>
      <c r="B400" s="23" t="s">
        <v>328</v>
      </c>
      <c r="C400" s="32" t="s">
        <v>187</v>
      </c>
      <c r="D400" s="139" t="str">
        <f>VLOOKUP(C400,'Seznam HS - nemaš'!$A$1:$B$96,2,FALSE)</f>
        <v>430101</v>
      </c>
      <c r="E400" s="22" t="s">
        <v>1192</v>
      </c>
      <c r="F400" s="30" t="s">
        <v>492</v>
      </c>
      <c r="G400" s="30"/>
      <c r="H400" s="28">
        <f>+IF(ISBLANK(I400),0,VLOOKUP(I400,'8Příloha_2_ceník_pravid_úklid'!$B$9:$C$30,2,0))</f>
        <v>4</v>
      </c>
      <c r="I400" s="143" t="s">
        <v>9</v>
      </c>
      <c r="J400" s="145">
        <v>9.57</v>
      </c>
      <c r="K400" s="275" t="s">
        <v>51</v>
      </c>
      <c r="L400" s="156" t="s">
        <v>22</v>
      </c>
      <c r="M400" s="22" t="s">
        <v>49</v>
      </c>
      <c r="N400" s="24">
        <f>IF((VLOOKUP(I400,'8Příloha_2_ceník_pravid_úklid'!$B$9:$I$30,8,0))=0,VLOOKUP(I400,'8Příloha_2_ceník_pravid_úklid'!$B$9:$K$30,10,0),VLOOKUP(I400,'8Příloha_2_ceník_pravid_úklid'!$B$9:$I$30,8,0))</f>
        <v>0</v>
      </c>
      <c r="O400" s="20">
        <v>2</v>
      </c>
      <c r="P400" s="20">
        <v>1</v>
      </c>
      <c r="Q400" s="20">
        <v>2</v>
      </c>
      <c r="R400" s="20">
        <v>1</v>
      </c>
      <c r="S400" s="21">
        <f>NETWORKDAYS.INTL(DATE(2018,1,1),DATE(2018,12,31),1,{"2018/1/1";"2018/3/30";"2018/4/2";"2018/5/1";"2018/5/8";"2018/7/5";"2018/7/6";"2018/09/28";"2018/11/17";"2018/12/24";"2018/12/25";"2018/12/26"})</f>
        <v>250</v>
      </c>
      <c r="T400" s="21">
        <f t="shared" si="34"/>
        <v>115</v>
      </c>
      <c r="U400" s="21">
        <f t="shared" si="35"/>
        <v>365</v>
      </c>
      <c r="V400" s="311">
        <f t="shared" si="36"/>
        <v>730</v>
      </c>
      <c r="W400" s="140">
        <f t="shared" si="37"/>
        <v>0</v>
      </c>
      <c r="X400" s="141">
        <f t="shared" si="38"/>
        <v>0</v>
      </c>
      <c r="Y400" s="141">
        <v>0</v>
      </c>
    </row>
    <row r="401" spans="1:25" ht="15" x14ac:dyDescent="0.2">
      <c r="A401" s="276" t="s">
        <v>1163</v>
      </c>
      <c r="B401" s="23" t="s">
        <v>328</v>
      </c>
      <c r="C401" s="32" t="s">
        <v>187</v>
      </c>
      <c r="D401" s="139" t="str">
        <f>VLOOKUP(C401,'Seznam HS - nemaš'!$A$1:$B$96,2,FALSE)</f>
        <v>430101</v>
      </c>
      <c r="E401" s="22" t="s">
        <v>1193</v>
      </c>
      <c r="F401" s="30" t="s">
        <v>633</v>
      </c>
      <c r="G401" s="30"/>
      <c r="H401" s="28">
        <f>+IF(ISBLANK(I401),0,VLOOKUP(I401,'8Příloha_2_ceník_pravid_úklid'!$B$9:$C$30,2,0))</f>
        <v>4</v>
      </c>
      <c r="I401" s="143" t="s">
        <v>9</v>
      </c>
      <c r="J401" s="145">
        <v>8.7100000000000009</v>
      </c>
      <c r="K401" s="275" t="s">
        <v>51</v>
      </c>
      <c r="L401" s="156" t="s">
        <v>598</v>
      </c>
      <c r="M401" s="22" t="s">
        <v>49</v>
      </c>
      <c r="N401" s="24">
        <f>IF((VLOOKUP(I401,'8Příloha_2_ceník_pravid_úklid'!$B$9:$I$30,8,0))=0,VLOOKUP(I401,'8Příloha_2_ceník_pravid_úklid'!$B$9:$K$30,10,0),VLOOKUP(I401,'8Příloha_2_ceník_pravid_úklid'!$B$9:$I$30,8,0))</f>
        <v>0</v>
      </c>
      <c r="O401" s="20">
        <v>1</v>
      </c>
      <c r="P401" s="20">
        <f>1/5</f>
        <v>0.2</v>
      </c>
      <c r="Q401" s="20">
        <v>0</v>
      </c>
      <c r="R401" s="20">
        <v>0</v>
      </c>
      <c r="S401" s="21">
        <f>NETWORKDAYS.INTL(DATE(2018,1,1),DATE(2018,12,31),1,{"2018/1/1";"2018/3/30";"2018/4/2";"2018/5/1";"2018/5/8";"2018/7/5";"2018/7/6";"2018/09/28";"2018/11/17";"2018/12/24";"2018/12/25";"2018/12/26"})</f>
        <v>250</v>
      </c>
      <c r="T401" s="21">
        <f t="shared" si="34"/>
        <v>115</v>
      </c>
      <c r="U401" s="21">
        <f t="shared" si="35"/>
        <v>365</v>
      </c>
      <c r="V401" s="311">
        <f t="shared" si="36"/>
        <v>50</v>
      </c>
      <c r="W401" s="140">
        <f t="shared" si="37"/>
        <v>0</v>
      </c>
      <c r="X401" s="141">
        <f t="shared" si="38"/>
        <v>0</v>
      </c>
      <c r="Y401" s="141">
        <v>0</v>
      </c>
    </row>
    <row r="402" spans="1:25" ht="15" x14ac:dyDescent="0.2">
      <c r="A402" s="235" t="s">
        <v>1194</v>
      </c>
      <c r="B402" s="236" t="s">
        <v>328</v>
      </c>
      <c r="C402" s="236"/>
      <c r="D402" s="535">
        <f>VLOOKUP(C402,'Seznam HS - nemaš'!$A$1:$B$96,2,FALSE)</f>
        <v>0</v>
      </c>
      <c r="E402" s="237" t="s">
        <v>1195</v>
      </c>
      <c r="F402" s="303" t="s">
        <v>764</v>
      </c>
      <c r="G402" s="303"/>
      <c r="H402" s="224">
        <f>+IF(ISBLANK(I402),0,VLOOKUP(I402,'8Příloha_2_ceník_pravid_úklid'!$B$9:$C$30,2,0))</f>
        <v>0</v>
      </c>
      <c r="I402" s="273"/>
      <c r="J402" s="239">
        <v>4.49</v>
      </c>
      <c r="K402" s="240"/>
      <c r="L402" s="242" t="s">
        <v>387</v>
      </c>
      <c r="M402" s="237"/>
      <c r="N402" s="229" t="s">
        <v>501</v>
      </c>
      <c r="O402" s="230">
        <v>0</v>
      </c>
      <c r="P402" s="230">
        <v>0</v>
      </c>
      <c r="Q402" s="230">
        <v>0</v>
      </c>
      <c r="R402" s="230">
        <v>0</v>
      </c>
      <c r="S402" s="231">
        <f>NETWORKDAYS.INTL(DATE(2018,1,1),DATE(2018,12,31),1,{"2018/1/1";"2018/3/30";"2018/4/2";"2018/5/1";"2018/5/8";"2018/7/5";"2018/7/6";"2018/09/28";"2018/11/17";"2018/12/24";"2018/12/25";"2018/12/26"})</f>
        <v>250</v>
      </c>
      <c r="T402" s="231">
        <f t="shared" si="34"/>
        <v>115</v>
      </c>
      <c r="U402" s="231">
        <f t="shared" si="35"/>
        <v>365</v>
      </c>
      <c r="V402" s="312">
        <f t="shared" si="36"/>
        <v>0</v>
      </c>
      <c r="W402" s="233">
        <f t="shared" si="37"/>
        <v>0</v>
      </c>
      <c r="X402" s="234">
        <f t="shared" si="38"/>
        <v>0</v>
      </c>
      <c r="Y402" s="234">
        <f t="shared" si="38"/>
        <v>0</v>
      </c>
    </row>
    <row r="403" spans="1:25" ht="15" x14ac:dyDescent="0.2">
      <c r="A403" s="235" t="s">
        <v>1194</v>
      </c>
      <c r="B403" s="236" t="s">
        <v>328</v>
      </c>
      <c r="C403" s="236"/>
      <c r="D403" s="535">
        <f>VLOOKUP(C403,'Seznam HS - nemaš'!$A$1:$B$96,2,FALSE)</f>
        <v>0</v>
      </c>
      <c r="E403" s="237" t="s">
        <v>1196</v>
      </c>
      <c r="F403" s="303" t="s">
        <v>766</v>
      </c>
      <c r="G403" s="303"/>
      <c r="H403" s="224">
        <f>+IF(ISBLANK(I403),0,VLOOKUP(I403,'8Příloha_2_ceník_pravid_úklid'!$B$9:$C$30,2,0))</f>
        <v>0</v>
      </c>
      <c r="I403" s="273"/>
      <c r="J403" s="239">
        <v>7.39</v>
      </c>
      <c r="K403" s="240"/>
      <c r="L403" s="242" t="s">
        <v>387</v>
      </c>
      <c r="M403" s="237"/>
      <c r="N403" s="229" t="s">
        <v>501</v>
      </c>
      <c r="O403" s="230">
        <v>0</v>
      </c>
      <c r="P403" s="230">
        <v>0</v>
      </c>
      <c r="Q403" s="230">
        <v>0</v>
      </c>
      <c r="R403" s="230">
        <v>0</v>
      </c>
      <c r="S403" s="231">
        <f>NETWORKDAYS.INTL(DATE(2018,1,1),DATE(2018,12,31),1,{"2018/1/1";"2018/3/30";"2018/4/2";"2018/5/1";"2018/5/8";"2018/7/5";"2018/7/6";"2018/09/28";"2018/11/17";"2018/12/24";"2018/12/25";"2018/12/26"})</f>
        <v>250</v>
      </c>
      <c r="T403" s="231">
        <f t="shared" si="34"/>
        <v>115</v>
      </c>
      <c r="U403" s="231">
        <f t="shared" si="35"/>
        <v>365</v>
      </c>
      <c r="V403" s="312">
        <f t="shared" si="36"/>
        <v>0</v>
      </c>
      <c r="W403" s="233">
        <f t="shared" si="37"/>
        <v>0</v>
      </c>
      <c r="X403" s="234">
        <f t="shared" si="38"/>
        <v>0</v>
      </c>
      <c r="Y403" s="234">
        <f t="shared" si="38"/>
        <v>0</v>
      </c>
    </row>
    <row r="404" spans="1:25" ht="15" x14ac:dyDescent="0.2">
      <c r="A404" s="276" t="s">
        <v>767</v>
      </c>
      <c r="B404" s="23" t="s">
        <v>328</v>
      </c>
      <c r="C404" s="23"/>
      <c r="D404" s="139">
        <f>VLOOKUP(C404,'Seznam HS - nemaš'!$A$1:$B$96,2,FALSE)</f>
        <v>0</v>
      </c>
      <c r="E404" s="22" t="s">
        <v>1197</v>
      </c>
      <c r="F404" s="30" t="s">
        <v>350</v>
      </c>
      <c r="G404" s="30" t="s">
        <v>1198</v>
      </c>
      <c r="H404" s="28">
        <f>+IF(ISBLANK(I404),0,VLOOKUP(I404,'8Příloha_2_ceník_pravid_úklid'!$B$9:$C$30,2,0))</f>
        <v>6</v>
      </c>
      <c r="I404" s="143" t="s">
        <v>1</v>
      </c>
      <c r="J404" s="245">
        <v>63.83</v>
      </c>
      <c r="K404" s="275" t="s">
        <v>50</v>
      </c>
      <c r="L404" s="30" t="s">
        <v>956</v>
      </c>
      <c r="M404" s="22" t="s">
        <v>1199</v>
      </c>
      <c r="N404" s="24">
        <f>IF((VLOOKUP(I404,'8Příloha_2_ceník_pravid_úklid'!$B$9:$I$30,8,0))=0,VLOOKUP(I404,'8Příloha_2_ceník_pravid_úklid'!$B$9:$K$30,10,0),VLOOKUP(I404,'8Příloha_2_ceník_pravid_úklid'!$B$9:$I$30,8,0))</f>
        <v>0</v>
      </c>
      <c r="O404" s="20">
        <v>2</v>
      </c>
      <c r="P404" s="20">
        <v>1</v>
      </c>
      <c r="Q404" s="20">
        <v>1</v>
      </c>
      <c r="R404" s="20">
        <v>1</v>
      </c>
      <c r="S404" s="21">
        <f>NETWORKDAYS.INTL(DATE(2018,1,1),DATE(2018,12,31),1,{"2018/1/1";"2018/3/30";"2018/4/2";"2018/5/1";"2018/5/8";"2018/7/5";"2018/7/6";"2018/09/28";"2018/11/17";"2018/12/24";"2018/12/25";"2018/12/26"})</f>
        <v>250</v>
      </c>
      <c r="T404" s="21">
        <f t="shared" si="34"/>
        <v>115</v>
      </c>
      <c r="U404" s="21">
        <f t="shared" si="35"/>
        <v>365</v>
      </c>
      <c r="V404" s="311">
        <f t="shared" si="36"/>
        <v>615</v>
      </c>
      <c r="W404" s="140">
        <f t="shared" si="37"/>
        <v>0</v>
      </c>
      <c r="X404" s="141">
        <f t="shared" si="38"/>
        <v>0</v>
      </c>
      <c r="Y404" s="141">
        <v>0</v>
      </c>
    </row>
    <row r="405" spans="1:25" ht="15" x14ac:dyDescent="0.2">
      <c r="A405" s="276" t="s">
        <v>767</v>
      </c>
      <c r="B405" s="23" t="s">
        <v>328</v>
      </c>
      <c r="C405" s="32" t="s">
        <v>185</v>
      </c>
      <c r="D405" s="139" t="str">
        <f>VLOOKUP(C405,'Seznam HS - nemaš'!$A$1:$B$96,2,FALSE)</f>
        <v>430100</v>
      </c>
      <c r="E405" s="22" t="s">
        <v>1200</v>
      </c>
      <c r="F405" s="30" t="s">
        <v>53</v>
      </c>
      <c r="G405" s="30" t="s">
        <v>1201</v>
      </c>
      <c r="H405" s="28">
        <f>+IF(ISBLANK(I405),0,VLOOKUP(I405,'8Příloha_2_ceník_pravid_úklid'!$B$9:$C$30,2,0))</f>
        <v>6</v>
      </c>
      <c r="I405" s="143" t="s">
        <v>1</v>
      </c>
      <c r="J405" s="245">
        <v>18.13</v>
      </c>
      <c r="K405" s="275" t="s">
        <v>50</v>
      </c>
      <c r="L405" s="156" t="s">
        <v>22</v>
      </c>
      <c r="M405" s="22" t="s">
        <v>49</v>
      </c>
      <c r="N405" s="24">
        <f>IF((VLOOKUP(I405,'8Příloha_2_ceník_pravid_úklid'!$B$9:$I$30,8,0))=0,VLOOKUP(I405,'8Příloha_2_ceník_pravid_úklid'!$B$9:$K$30,10,0),VLOOKUP(I405,'8Příloha_2_ceník_pravid_úklid'!$B$9:$I$30,8,0))</f>
        <v>0</v>
      </c>
      <c r="O405" s="20">
        <v>2</v>
      </c>
      <c r="P405" s="20">
        <v>1</v>
      </c>
      <c r="Q405" s="20">
        <v>2</v>
      </c>
      <c r="R405" s="20">
        <v>1</v>
      </c>
      <c r="S405" s="21">
        <f>NETWORKDAYS.INTL(DATE(2018,1,1),DATE(2018,12,31),1,{"2018/1/1";"2018/3/30";"2018/4/2";"2018/5/1";"2018/5/8";"2018/7/5";"2018/7/6";"2018/09/28";"2018/11/17";"2018/12/24";"2018/12/25";"2018/12/26"})</f>
        <v>250</v>
      </c>
      <c r="T405" s="21">
        <f t="shared" si="34"/>
        <v>115</v>
      </c>
      <c r="U405" s="21">
        <f t="shared" si="35"/>
        <v>365</v>
      </c>
      <c r="V405" s="311">
        <f t="shared" si="36"/>
        <v>730</v>
      </c>
      <c r="W405" s="140">
        <f t="shared" si="37"/>
        <v>0</v>
      </c>
      <c r="X405" s="141">
        <f t="shared" si="38"/>
        <v>0</v>
      </c>
      <c r="Y405" s="141">
        <v>0</v>
      </c>
    </row>
    <row r="406" spans="1:25" ht="15" x14ac:dyDescent="0.2">
      <c r="A406" s="276" t="s">
        <v>767</v>
      </c>
      <c r="B406" s="23" t="s">
        <v>328</v>
      </c>
      <c r="C406" s="23"/>
      <c r="D406" s="139">
        <f>VLOOKUP(C406,'Seznam HS - nemaš'!$A$1:$B$96,2,FALSE)</f>
        <v>0</v>
      </c>
      <c r="E406" s="22" t="s">
        <v>1202</v>
      </c>
      <c r="F406" s="30" t="s">
        <v>336</v>
      </c>
      <c r="G406" s="30" t="s">
        <v>1203</v>
      </c>
      <c r="H406" s="28">
        <f>+IF(ISBLANK(I406),0,VLOOKUP(I406,'8Příloha_2_ceník_pravid_úklid'!$B$9:$C$30,2,0))</f>
        <v>8</v>
      </c>
      <c r="I406" s="143" t="s">
        <v>11</v>
      </c>
      <c r="J406" s="145">
        <v>12</v>
      </c>
      <c r="K406" s="275" t="s">
        <v>64</v>
      </c>
      <c r="L406" s="30" t="s">
        <v>956</v>
      </c>
      <c r="M406" s="22" t="s">
        <v>771</v>
      </c>
      <c r="N406" s="24">
        <f>IF((VLOOKUP(I406,'8Příloha_2_ceník_pravid_úklid'!$B$9:$I$30,8,0))=0,VLOOKUP(I406,'8Příloha_2_ceník_pravid_úklid'!$B$9:$K$30,10,0),VLOOKUP(I406,'8Příloha_2_ceník_pravid_úklid'!$B$9:$I$30,8,0))</f>
        <v>0</v>
      </c>
      <c r="O406" s="20">
        <v>2</v>
      </c>
      <c r="P406" s="20">
        <v>1</v>
      </c>
      <c r="Q406" s="20">
        <v>1</v>
      </c>
      <c r="R406" s="20">
        <v>1</v>
      </c>
      <c r="S406" s="21">
        <f>NETWORKDAYS.INTL(DATE(2018,1,1),DATE(2018,12,31),1,{"2018/1/1";"2018/3/30";"2018/4/2";"2018/5/1";"2018/5/8";"2018/7/5";"2018/7/6";"2018/09/28";"2018/11/17";"2018/12/24";"2018/12/25";"2018/12/26"})</f>
        <v>250</v>
      </c>
      <c r="T406" s="21">
        <f t="shared" si="34"/>
        <v>115</v>
      </c>
      <c r="U406" s="21">
        <f t="shared" si="35"/>
        <v>365</v>
      </c>
      <c r="V406" s="311">
        <f t="shared" si="36"/>
        <v>615</v>
      </c>
      <c r="W406" s="140">
        <f t="shared" si="37"/>
        <v>0</v>
      </c>
      <c r="X406" s="141">
        <f t="shared" si="38"/>
        <v>0</v>
      </c>
      <c r="Y406" s="141">
        <v>0</v>
      </c>
    </row>
    <row r="407" spans="1:25" ht="27" x14ac:dyDescent="0.2">
      <c r="A407" s="388" t="s">
        <v>1204</v>
      </c>
      <c r="B407" s="358" t="s">
        <v>328</v>
      </c>
      <c r="C407" s="358" t="s">
        <v>229</v>
      </c>
      <c r="D407" s="543" t="str">
        <f>VLOOKUP(C407,'Seznam HS - nemaš'!$A$1:$B$96,2,FALSE)</f>
        <v>460600</v>
      </c>
      <c r="E407" s="359"/>
      <c r="F407" s="389" t="s">
        <v>1205</v>
      </c>
      <c r="G407" s="390" t="s">
        <v>1206</v>
      </c>
      <c r="H407" s="544">
        <f>+IF(ISBLANK(I407),0,VLOOKUP(I407,'8Příloha_2_ceník_pravid_úklid'!$B$9:$C$30,2,0))</f>
        <v>5</v>
      </c>
      <c r="I407" s="362" t="s">
        <v>112</v>
      </c>
      <c r="J407" s="363">
        <f>1*6+1*8.5</f>
        <v>14.5</v>
      </c>
      <c r="K407" s="364"/>
      <c r="L407" s="365" t="s">
        <v>21</v>
      </c>
      <c r="M407" s="359"/>
      <c r="N407" s="366">
        <f>IF((VLOOKUP(I407,'8Příloha_2_ceník_pravid_úklid'!$B$9:$I$30,8,0))=0,VLOOKUP(I407,'8Příloha_2_ceník_pravid_úklid'!$B$9:$K$30,10,0),VLOOKUP(I407,'8Příloha_2_ceník_pravid_úklid'!$B$9:$I$30,8,0))</f>
        <v>0</v>
      </c>
      <c r="O407" s="365">
        <v>1</v>
      </c>
      <c r="P407" s="365">
        <v>1</v>
      </c>
      <c r="Q407" s="365">
        <v>0</v>
      </c>
      <c r="R407" s="365">
        <v>0</v>
      </c>
      <c r="S407" s="368">
        <f>NETWORKDAYS.INTL(DATE(2018,1,1),DATE(2018,12,31),1,{"2018/1/1";"2018/3/30";"2018/4/2";"2018/5/1";"2018/5/8";"2018/7/5";"2018/7/6";"2018/09/28";"2018/11/17";"2018/12/24";"2018/12/25";"2018/12/26"})</f>
        <v>250</v>
      </c>
      <c r="T407" s="368">
        <f t="shared" si="34"/>
        <v>115</v>
      </c>
      <c r="U407" s="368">
        <f t="shared" si="35"/>
        <v>365</v>
      </c>
      <c r="V407" s="369">
        <f t="shared" si="36"/>
        <v>250</v>
      </c>
      <c r="W407" s="370">
        <f t="shared" si="37"/>
        <v>0</v>
      </c>
      <c r="X407" s="371">
        <f t="shared" si="38"/>
        <v>0</v>
      </c>
      <c r="Y407" s="573">
        <v>0</v>
      </c>
    </row>
    <row r="408" spans="1:25" ht="18" x14ac:dyDescent="0.2">
      <c r="A408" s="388" t="s">
        <v>1204</v>
      </c>
      <c r="B408" s="358" t="s">
        <v>328</v>
      </c>
      <c r="C408" s="358" t="s">
        <v>229</v>
      </c>
      <c r="D408" s="543" t="str">
        <f>VLOOKUP(C408,'Seznam HS - nemaš'!$A$1:$B$96,2,FALSE)</f>
        <v>460600</v>
      </c>
      <c r="E408" s="359"/>
      <c r="F408" s="389" t="s">
        <v>1205</v>
      </c>
      <c r="G408" s="390" t="s">
        <v>1207</v>
      </c>
      <c r="H408" s="544">
        <f>+IF(ISBLANK(I408),0,VLOOKUP(I408,'8Příloha_2_ceník_pravid_úklid'!$B$9:$C$30,2,0))</f>
        <v>5</v>
      </c>
      <c r="I408" s="362" t="s">
        <v>112</v>
      </c>
      <c r="J408" s="363">
        <f>1*5.5</f>
        <v>5.5</v>
      </c>
      <c r="K408" s="364"/>
      <c r="L408" s="365" t="s">
        <v>21</v>
      </c>
      <c r="M408" s="359"/>
      <c r="N408" s="366">
        <f>IF((VLOOKUP(I408,'8Příloha_2_ceník_pravid_úklid'!$B$9:$I$30,8,0))=0,VLOOKUP(I408,'8Příloha_2_ceník_pravid_úklid'!$B$9:$K$30,10,0),VLOOKUP(I408,'8Příloha_2_ceník_pravid_úklid'!$B$9:$I$30,8,0))</f>
        <v>0</v>
      </c>
      <c r="O408" s="365">
        <v>1</v>
      </c>
      <c r="P408" s="365">
        <v>1</v>
      </c>
      <c r="Q408" s="365">
        <v>0</v>
      </c>
      <c r="R408" s="365">
        <v>0</v>
      </c>
      <c r="S408" s="368">
        <f>NETWORKDAYS.INTL(DATE(2018,1,1),DATE(2018,12,31),1,{"2018/1/1";"2018/3/30";"2018/4/2";"2018/5/1";"2018/5/8";"2018/7/5";"2018/7/6";"2018/09/28";"2018/11/17";"2018/12/24";"2018/12/25";"2018/12/26"})</f>
        <v>250</v>
      </c>
      <c r="T408" s="368">
        <f t="shared" si="34"/>
        <v>115</v>
      </c>
      <c r="U408" s="368">
        <f t="shared" si="35"/>
        <v>365</v>
      </c>
      <c r="V408" s="369">
        <f t="shared" si="36"/>
        <v>250</v>
      </c>
      <c r="W408" s="370">
        <f t="shared" si="37"/>
        <v>0</v>
      </c>
      <c r="X408" s="371">
        <f t="shared" si="38"/>
        <v>0</v>
      </c>
      <c r="Y408" s="573">
        <v>0</v>
      </c>
    </row>
    <row r="409" spans="1:25" ht="27" x14ac:dyDescent="0.2">
      <c r="A409" s="388" t="s">
        <v>1204</v>
      </c>
      <c r="B409" s="358" t="s">
        <v>328</v>
      </c>
      <c r="C409" s="358" t="s">
        <v>229</v>
      </c>
      <c r="D409" s="543" t="str">
        <f>VLOOKUP(C409,'Seznam HS - nemaš'!$A$1:$B$96,2,FALSE)</f>
        <v>460600</v>
      </c>
      <c r="E409" s="359"/>
      <c r="F409" s="389" t="s">
        <v>645</v>
      </c>
      <c r="G409" s="390" t="s">
        <v>1208</v>
      </c>
      <c r="H409" s="544">
        <f>+IF(ISBLANK(I409),0,VLOOKUP(I409,'8Příloha_2_ceník_pravid_úklid'!$B$9:$C$30,2,0))</f>
        <v>21</v>
      </c>
      <c r="I409" s="362" t="s">
        <v>115</v>
      </c>
      <c r="J409" s="363">
        <f>1*12</f>
        <v>12</v>
      </c>
      <c r="K409" s="364"/>
      <c r="L409" s="390" t="s">
        <v>1209</v>
      </c>
      <c r="M409" s="359"/>
      <c r="N409" s="366">
        <f>IF((VLOOKUP(I409,'8Příloha_2_ceník_pravid_úklid'!$B$9:$I$30,8,0))=0,VLOOKUP(I409,'8Příloha_2_ceník_pravid_úklid'!$B$9:$K$30,10,0),VLOOKUP(I409,'8Příloha_2_ceník_pravid_úklid'!$B$9:$I$30,8,0))</f>
        <v>0</v>
      </c>
      <c r="O409" s="365">
        <v>0</v>
      </c>
      <c r="P409" s="365">
        <v>0</v>
      </c>
      <c r="Q409" s="365">
        <v>1</v>
      </c>
      <c r="R409" s="367">
        <f>ROUND((2+4)/9,2)</f>
        <v>0.67</v>
      </c>
      <c r="S409" s="368">
        <f>NETWORKDAYS.INTL(DATE(2018,1,1),DATE(2018,12,31),1,{"2018/1/1";"2018/3/30";"2018/4/2";"2018/5/1";"2018/5/8";"2018/7/5";"2018/7/6";"2018/09/28";"2018/11/17";"2018/12/24";"2018/12/25";"2018/12/26"})</f>
        <v>250</v>
      </c>
      <c r="T409" s="368">
        <f t="shared" si="34"/>
        <v>115</v>
      </c>
      <c r="U409" s="368">
        <f t="shared" si="35"/>
        <v>365</v>
      </c>
      <c r="V409" s="369">
        <f t="shared" si="36"/>
        <v>77.05</v>
      </c>
      <c r="W409" s="370">
        <f t="shared" si="37"/>
        <v>0</v>
      </c>
      <c r="X409" s="371">
        <f t="shared" si="38"/>
        <v>0</v>
      </c>
      <c r="Y409" s="573">
        <v>0</v>
      </c>
    </row>
    <row r="410" spans="1:25" ht="27" x14ac:dyDescent="0.2">
      <c r="A410" s="388" t="s">
        <v>1204</v>
      </c>
      <c r="B410" s="358" t="s">
        <v>328</v>
      </c>
      <c r="C410" s="358" t="s">
        <v>229</v>
      </c>
      <c r="D410" s="543" t="str">
        <f>VLOOKUP(C410,'Seznam HS - nemaš'!$A$1:$B$96,2,FALSE)</f>
        <v>460600</v>
      </c>
      <c r="E410" s="359"/>
      <c r="F410" s="389" t="s">
        <v>645</v>
      </c>
      <c r="G410" s="390" t="s">
        <v>1210</v>
      </c>
      <c r="H410" s="544">
        <f>+IF(ISBLANK(I410),0,VLOOKUP(I410,'8Příloha_2_ceník_pravid_úklid'!$B$9:$C$30,2,0))</f>
        <v>21</v>
      </c>
      <c r="I410" s="362" t="s">
        <v>115</v>
      </c>
      <c r="J410" s="363">
        <f>1*7.5</f>
        <v>7.5</v>
      </c>
      <c r="K410" s="364"/>
      <c r="L410" s="390" t="s">
        <v>1211</v>
      </c>
      <c r="M410" s="359"/>
      <c r="N410" s="366">
        <f>IF((VLOOKUP(I410,'8Příloha_2_ceník_pravid_úklid'!$B$9:$I$30,8,0))=0,VLOOKUP(I410,'8Příloha_2_ceník_pravid_úklid'!$B$9:$K$30,10,0),VLOOKUP(I410,'8Příloha_2_ceník_pravid_úklid'!$B$9:$I$30,8,0))</f>
        <v>0</v>
      </c>
      <c r="O410" s="365">
        <v>0</v>
      </c>
      <c r="P410" s="365">
        <v>0</v>
      </c>
      <c r="Q410" s="365">
        <v>1</v>
      </c>
      <c r="R410" s="367">
        <f>ROUND(2/9,2)</f>
        <v>0.22</v>
      </c>
      <c r="S410" s="368">
        <f>NETWORKDAYS.INTL(DATE(2018,1,1),DATE(2018,12,31),1,{"2018/1/1";"2018/3/30";"2018/4/2";"2018/5/1";"2018/5/8";"2018/7/5";"2018/7/6";"2018/09/28";"2018/11/17";"2018/12/24";"2018/12/25";"2018/12/26"})</f>
        <v>250</v>
      </c>
      <c r="T410" s="368">
        <f t="shared" si="34"/>
        <v>115</v>
      </c>
      <c r="U410" s="368">
        <f t="shared" si="35"/>
        <v>365</v>
      </c>
      <c r="V410" s="369">
        <f t="shared" si="36"/>
        <v>25.3</v>
      </c>
      <c r="W410" s="370">
        <f t="shared" si="37"/>
        <v>0</v>
      </c>
      <c r="X410" s="371">
        <f t="shared" si="38"/>
        <v>0</v>
      </c>
      <c r="Y410" s="573">
        <v>0</v>
      </c>
    </row>
    <row r="411" spans="1:25" ht="18" x14ac:dyDescent="0.2">
      <c r="A411" s="388" t="s">
        <v>1204</v>
      </c>
      <c r="B411" s="358" t="s">
        <v>328</v>
      </c>
      <c r="C411" s="358" t="s">
        <v>229</v>
      </c>
      <c r="D411" s="543" t="str">
        <f>VLOOKUP(C411,'Seznam HS - nemaš'!$A$1:$B$96,2,FALSE)</f>
        <v>460600</v>
      </c>
      <c r="E411" s="359"/>
      <c r="F411" s="389" t="s">
        <v>1212</v>
      </c>
      <c r="G411" s="390" t="s">
        <v>1213</v>
      </c>
      <c r="H411" s="544">
        <f>+IF(ISBLANK(I411),0,VLOOKUP(I411,'8Příloha_2_ceník_pravid_úklid'!$B$9:$C$30,2,0))</f>
        <v>5</v>
      </c>
      <c r="I411" s="362" t="s">
        <v>112</v>
      </c>
      <c r="J411" s="363">
        <f>4*6.5</f>
        <v>26</v>
      </c>
      <c r="K411" s="364"/>
      <c r="L411" s="390" t="s">
        <v>1214</v>
      </c>
      <c r="M411" s="359"/>
      <c r="N411" s="366">
        <f>IF((VLOOKUP(I411,'8Příloha_2_ceník_pravid_úklid'!$B$9:$I$30,8,0))=0,VLOOKUP(I411,'8Příloha_2_ceník_pravid_úklid'!$B$9:$K$30,10,0),VLOOKUP(I411,'8Příloha_2_ceník_pravid_úklid'!$B$9:$I$30,8,0))</f>
        <v>0</v>
      </c>
      <c r="O411" s="365">
        <v>0</v>
      </c>
      <c r="P411" s="365">
        <v>0</v>
      </c>
      <c r="Q411" s="365">
        <v>1</v>
      </c>
      <c r="R411" s="367">
        <f>ROUND(2/9,2)</f>
        <v>0.22</v>
      </c>
      <c r="S411" s="368">
        <f>NETWORKDAYS.INTL(DATE(2018,1,1),DATE(2018,12,31),1,{"2018/1/1";"2018/3/30";"2018/4/2";"2018/5/1";"2018/5/8";"2018/7/5";"2018/7/6";"2018/09/28";"2018/11/17";"2018/12/24";"2018/12/25";"2018/12/26"})</f>
        <v>250</v>
      </c>
      <c r="T411" s="368">
        <f t="shared" si="34"/>
        <v>115</v>
      </c>
      <c r="U411" s="368">
        <f t="shared" si="35"/>
        <v>365</v>
      </c>
      <c r="V411" s="369">
        <f t="shared" si="36"/>
        <v>25.3</v>
      </c>
      <c r="W411" s="370">
        <f t="shared" si="37"/>
        <v>0</v>
      </c>
      <c r="X411" s="371">
        <f t="shared" si="38"/>
        <v>0</v>
      </c>
      <c r="Y411" s="573">
        <v>0</v>
      </c>
    </row>
    <row r="412" spans="1:25" ht="15" x14ac:dyDescent="0.2">
      <c r="A412" s="235" t="s">
        <v>1204</v>
      </c>
      <c r="B412" s="236" t="s">
        <v>328</v>
      </c>
      <c r="C412" s="545" t="s">
        <v>229</v>
      </c>
      <c r="D412" s="535" t="str">
        <f>VLOOKUP(C412,'Seznam HS - nemaš'!$A$1:$B$96,2,FALSE)</f>
        <v>460600</v>
      </c>
      <c r="E412" s="237" t="s">
        <v>1215</v>
      </c>
      <c r="F412" s="303" t="s">
        <v>572</v>
      </c>
      <c r="G412" s="303" t="s">
        <v>539</v>
      </c>
      <c r="H412" s="224">
        <f>+IF(ISBLANK(I412),0,VLOOKUP(I412,'8Příloha_2_ceník_pravid_úklid'!$B$9:$C$30,2,0))</f>
        <v>0</v>
      </c>
      <c r="I412" s="273"/>
      <c r="J412" s="241">
        <v>8.4</v>
      </c>
      <c r="K412" s="240"/>
      <c r="L412" s="242" t="s">
        <v>1216</v>
      </c>
      <c r="M412" s="237" t="s">
        <v>49</v>
      </c>
      <c r="N412" s="229" t="s">
        <v>501</v>
      </c>
      <c r="O412" s="230">
        <v>0</v>
      </c>
      <c r="P412" s="230">
        <v>0</v>
      </c>
      <c r="Q412" s="230">
        <v>0</v>
      </c>
      <c r="R412" s="230">
        <v>0</v>
      </c>
      <c r="S412" s="231">
        <f>NETWORKDAYS.INTL(DATE(2018,1,1),DATE(2018,12,31),1,{"2018/1/1";"2018/3/30";"2018/4/2";"2018/5/1";"2018/5/8";"2018/7/5";"2018/7/6";"2018/09/28";"2018/11/17";"2018/12/24";"2018/12/25";"2018/12/26"})</f>
        <v>250</v>
      </c>
      <c r="T412" s="231">
        <f t="shared" si="34"/>
        <v>115</v>
      </c>
      <c r="U412" s="231">
        <f t="shared" si="35"/>
        <v>365</v>
      </c>
      <c r="V412" s="312">
        <f t="shared" si="36"/>
        <v>0</v>
      </c>
      <c r="W412" s="233">
        <f t="shared" si="37"/>
        <v>0</v>
      </c>
      <c r="X412" s="234">
        <f t="shared" si="38"/>
        <v>0</v>
      </c>
      <c r="Y412" s="141">
        <v>0</v>
      </c>
    </row>
    <row r="413" spans="1:25" ht="15" x14ac:dyDescent="0.2">
      <c r="A413" s="235" t="s">
        <v>1204</v>
      </c>
      <c r="B413" s="236" t="s">
        <v>328</v>
      </c>
      <c r="C413" s="545" t="s">
        <v>229</v>
      </c>
      <c r="D413" s="535" t="str">
        <f>VLOOKUP(C413,'Seznam HS - nemaš'!$A$1:$B$96,2,FALSE)</f>
        <v>460600</v>
      </c>
      <c r="E413" s="237" t="s">
        <v>1217</v>
      </c>
      <c r="F413" s="303" t="s">
        <v>572</v>
      </c>
      <c r="G413" s="303" t="s">
        <v>540</v>
      </c>
      <c r="H413" s="224">
        <f>+IF(ISBLANK(I413),0,VLOOKUP(I413,'8Příloha_2_ceník_pravid_úklid'!$B$9:$C$30,2,0))</f>
        <v>0</v>
      </c>
      <c r="I413" s="273"/>
      <c r="J413" s="241">
        <v>8.4</v>
      </c>
      <c r="K413" s="240"/>
      <c r="L413" s="242" t="s">
        <v>1216</v>
      </c>
      <c r="M413" s="237" t="s">
        <v>49</v>
      </c>
      <c r="N413" s="229" t="s">
        <v>501</v>
      </c>
      <c r="O413" s="230">
        <v>0</v>
      </c>
      <c r="P413" s="230">
        <v>0</v>
      </c>
      <c r="Q413" s="230">
        <v>0</v>
      </c>
      <c r="R413" s="230">
        <v>0</v>
      </c>
      <c r="S413" s="231">
        <f>NETWORKDAYS.INTL(DATE(2018,1,1),DATE(2018,12,31),1,{"2018/1/1";"2018/3/30";"2018/4/2";"2018/5/1";"2018/5/8";"2018/7/5";"2018/7/6";"2018/09/28";"2018/11/17";"2018/12/24";"2018/12/25";"2018/12/26"})</f>
        <v>250</v>
      </c>
      <c r="T413" s="231">
        <f t="shared" si="34"/>
        <v>115</v>
      </c>
      <c r="U413" s="231">
        <f t="shared" si="35"/>
        <v>365</v>
      </c>
      <c r="V413" s="312">
        <f t="shared" si="36"/>
        <v>0</v>
      </c>
      <c r="W413" s="233">
        <f t="shared" si="37"/>
        <v>0</v>
      </c>
      <c r="X413" s="234">
        <f t="shared" si="38"/>
        <v>0</v>
      </c>
      <c r="Y413" s="141">
        <v>0</v>
      </c>
    </row>
    <row r="414" spans="1:25" ht="15" x14ac:dyDescent="0.2">
      <c r="A414" s="235" t="s">
        <v>1204</v>
      </c>
      <c r="B414" s="236" t="s">
        <v>328</v>
      </c>
      <c r="C414" s="545" t="s">
        <v>229</v>
      </c>
      <c r="D414" s="535" t="str">
        <f>VLOOKUP(C414,'Seznam HS - nemaš'!$A$1:$B$96,2,FALSE)</f>
        <v>460600</v>
      </c>
      <c r="E414" s="237" t="s">
        <v>1218</v>
      </c>
      <c r="F414" s="303" t="s">
        <v>572</v>
      </c>
      <c r="G414" s="303" t="s">
        <v>555</v>
      </c>
      <c r="H414" s="224">
        <f>+IF(ISBLANK(I414),0,VLOOKUP(I414,'8Příloha_2_ceník_pravid_úklid'!$B$9:$C$30,2,0))</f>
        <v>0</v>
      </c>
      <c r="I414" s="273"/>
      <c r="J414" s="241">
        <v>15.3</v>
      </c>
      <c r="K414" s="240"/>
      <c r="L414" s="242" t="s">
        <v>1216</v>
      </c>
      <c r="M414" s="237" t="s">
        <v>49</v>
      </c>
      <c r="N414" s="229" t="s">
        <v>501</v>
      </c>
      <c r="O414" s="230">
        <v>0</v>
      </c>
      <c r="P414" s="230">
        <v>0</v>
      </c>
      <c r="Q414" s="230">
        <v>0</v>
      </c>
      <c r="R414" s="230">
        <v>0</v>
      </c>
      <c r="S414" s="231">
        <f>NETWORKDAYS.INTL(DATE(2018,1,1),DATE(2018,12,31),1,{"2018/1/1";"2018/3/30";"2018/4/2";"2018/5/1";"2018/5/8";"2018/7/5";"2018/7/6";"2018/09/28";"2018/11/17";"2018/12/24";"2018/12/25";"2018/12/26"})</f>
        <v>250</v>
      </c>
      <c r="T414" s="231">
        <f t="shared" si="34"/>
        <v>115</v>
      </c>
      <c r="U414" s="231">
        <f t="shared" si="35"/>
        <v>365</v>
      </c>
      <c r="V414" s="312">
        <f t="shared" si="36"/>
        <v>0</v>
      </c>
      <c r="W414" s="233">
        <f t="shared" si="37"/>
        <v>0</v>
      </c>
      <c r="X414" s="234">
        <f t="shared" si="38"/>
        <v>0</v>
      </c>
      <c r="Y414" s="141">
        <v>0</v>
      </c>
    </row>
    <row r="415" spans="1:25" ht="15" x14ac:dyDescent="0.2">
      <c r="A415" s="235" t="s">
        <v>1204</v>
      </c>
      <c r="B415" s="236" t="s">
        <v>328</v>
      </c>
      <c r="C415" s="545" t="s">
        <v>229</v>
      </c>
      <c r="D415" s="535" t="str">
        <f>VLOOKUP(C415,'Seznam HS - nemaš'!$A$1:$B$96,2,FALSE)</f>
        <v>460600</v>
      </c>
      <c r="E415" s="237" t="s">
        <v>1219</v>
      </c>
      <c r="F415" s="303" t="s">
        <v>53</v>
      </c>
      <c r="G415" s="303"/>
      <c r="H415" s="224">
        <f>+IF(ISBLANK(I415),0,VLOOKUP(I415,'8Příloha_2_ceník_pravid_úklid'!$B$9:$C$30,2,0))</f>
        <v>0</v>
      </c>
      <c r="I415" s="273"/>
      <c r="J415" s="241">
        <v>52.5</v>
      </c>
      <c r="K415" s="240"/>
      <c r="L415" s="242" t="s">
        <v>1216</v>
      </c>
      <c r="M415" s="237" t="s">
        <v>49</v>
      </c>
      <c r="N415" s="229" t="s">
        <v>501</v>
      </c>
      <c r="O415" s="230">
        <v>0</v>
      </c>
      <c r="P415" s="230">
        <v>0</v>
      </c>
      <c r="Q415" s="230">
        <v>0</v>
      </c>
      <c r="R415" s="230">
        <v>0</v>
      </c>
      <c r="S415" s="231">
        <f>NETWORKDAYS.INTL(DATE(2018,1,1),DATE(2018,12,31),1,{"2018/1/1";"2018/3/30";"2018/4/2";"2018/5/1";"2018/5/8";"2018/7/5";"2018/7/6";"2018/09/28";"2018/11/17";"2018/12/24";"2018/12/25";"2018/12/26"})</f>
        <v>250</v>
      </c>
      <c r="T415" s="231">
        <f t="shared" si="34"/>
        <v>115</v>
      </c>
      <c r="U415" s="231">
        <f t="shared" si="35"/>
        <v>365</v>
      </c>
      <c r="V415" s="312">
        <f t="shared" si="36"/>
        <v>0</v>
      </c>
      <c r="W415" s="233">
        <f t="shared" si="37"/>
        <v>0</v>
      </c>
      <c r="X415" s="234">
        <f t="shared" si="38"/>
        <v>0</v>
      </c>
      <c r="Y415" s="141">
        <v>0</v>
      </c>
    </row>
    <row r="416" spans="1:25" ht="15" x14ac:dyDescent="0.2">
      <c r="A416" s="235" t="s">
        <v>1204</v>
      </c>
      <c r="B416" s="236" t="s">
        <v>328</v>
      </c>
      <c r="C416" s="545" t="s">
        <v>229</v>
      </c>
      <c r="D416" s="535" t="str">
        <f>VLOOKUP(C416,'Seznam HS - nemaš'!$A$1:$B$96,2,FALSE)</f>
        <v>460600</v>
      </c>
      <c r="E416" s="237" t="s">
        <v>1220</v>
      </c>
      <c r="F416" s="303" t="s">
        <v>1221</v>
      </c>
      <c r="G416" s="303"/>
      <c r="H416" s="224">
        <f>+IF(ISBLANK(I416),0,VLOOKUP(I416,'8Příloha_2_ceník_pravid_úklid'!$B$9:$C$30,2,0))</f>
        <v>0</v>
      </c>
      <c r="I416" s="273"/>
      <c r="J416" s="241">
        <v>11.26</v>
      </c>
      <c r="K416" s="240"/>
      <c r="L416" s="242" t="s">
        <v>1216</v>
      </c>
      <c r="M416" s="237" t="s">
        <v>49</v>
      </c>
      <c r="N416" s="229" t="s">
        <v>501</v>
      </c>
      <c r="O416" s="230">
        <v>0</v>
      </c>
      <c r="P416" s="230">
        <v>0</v>
      </c>
      <c r="Q416" s="230">
        <v>0</v>
      </c>
      <c r="R416" s="230">
        <v>0</v>
      </c>
      <c r="S416" s="231">
        <f>NETWORKDAYS.INTL(DATE(2018,1,1),DATE(2018,12,31),1,{"2018/1/1";"2018/3/30";"2018/4/2";"2018/5/1";"2018/5/8";"2018/7/5";"2018/7/6";"2018/09/28";"2018/11/17";"2018/12/24";"2018/12/25";"2018/12/26"})</f>
        <v>250</v>
      </c>
      <c r="T416" s="231">
        <f t="shared" si="34"/>
        <v>115</v>
      </c>
      <c r="U416" s="231">
        <f t="shared" si="35"/>
        <v>365</v>
      </c>
      <c r="V416" s="312">
        <f t="shared" si="36"/>
        <v>0</v>
      </c>
      <c r="W416" s="233">
        <f t="shared" si="37"/>
        <v>0</v>
      </c>
      <c r="X416" s="234">
        <f t="shared" si="38"/>
        <v>0</v>
      </c>
      <c r="Y416" s="141">
        <v>0</v>
      </c>
    </row>
    <row r="417" spans="1:25" ht="15" x14ac:dyDescent="0.2">
      <c r="A417" s="235" t="s">
        <v>1204</v>
      </c>
      <c r="B417" s="236" t="s">
        <v>328</v>
      </c>
      <c r="C417" s="545" t="s">
        <v>229</v>
      </c>
      <c r="D417" s="535" t="str">
        <f>VLOOKUP(C417,'Seznam HS - nemaš'!$A$1:$B$96,2,FALSE)</f>
        <v>460600</v>
      </c>
      <c r="E417" s="237" t="s">
        <v>1222</v>
      </c>
      <c r="F417" s="303" t="s">
        <v>477</v>
      </c>
      <c r="G417" s="303"/>
      <c r="H417" s="224">
        <f>+IF(ISBLANK(I417),0,VLOOKUP(I417,'8Příloha_2_ceník_pravid_úklid'!$B$9:$C$30,2,0))</f>
        <v>0</v>
      </c>
      <c r="I417" s="273"/>
      <c r="J417" s="241">
        <v>6.42</v>
      </c>
      <c r="K417" s="240"/>
      <c r="L417" s="242" t="s">
        <v>1216</v>
      </c>
      <c r="M417" s="237" t="s">
        <v>49</v>
      </c>
      <c r="N417" s="229" t="s">
        <v>501</v>
      </c>
      <c r="O417" s="230">
        <v>0</v>
      </c>
      <c r="P417" s="230">
        <v>0</v>
      </c>
      <c r="Q417" s="230">
        <v>0</v>
      </c>
      <c r="R417" s="230">
        <v>0</v>
      </c>
      <c r="S417" s="231">
        <f>NETWORKDAYS.INTL(DATE(2018,1,1),DATE(2018,12,31),1,{"2018/1/1";"2018/3/30";"2018/4/2";"2018/5/1";"2018/5/8";"2018/7/5";"2018/7/6";"2018/09/28";"2018/11/17";"2018/12/24";"2018/12/25";"2018/12/26"})</f>
        <v>250</v>
      </c>
      <c r="T417" s="231">
        <f t="shared" si="34"/>
        <v>115</v>
      </c>
      <c r="U417" s="231">
        <f t="shared" si="35"/>
        <v>365</v>
      </c>
      <c r="V417" s="312">
        <f t="shared" si="36"/>
        <v>0</v>
      </c>
      <c r="W417" s="233">
        <f t="shared" si="37"/>
        <v>0</v>
      </c>
      <c r="X417" s="234">
        <f t="shared" si="38"/>
        <v>0</v>
      </c>
      <c r="Y417" s="141">
        <v>0</v>
      </c>
    </row>
    <row r="418" spans="1:25" ht="15" x14ac:dyDescent="0.2">
      <c r="A418" s="235" t="s">
        <v>1204</v>
      </c>
      <c r="B418" s="236" t="s">
        <v>328</v>
      </c>
      <c r="C418" s="545" t="s">
        <v>229</v>
      </c>
      <c r="D418" s="535" t="str">
        <f>VLOOKUP(C418,'Seznam HS - nemaš'!$A$1:$B$96,2,FALSE)</f>
        <v>460600</v>
      </c>
      <c r="E418" s="237" t="s">
        <v>1223</v>
      </c>
      <c r="F418" s="303" t="s">
        <v>893</v>
      </c>
      <c r="G418" s="303"/>
      <c r="H418" s="224">
        <f>+IF(ISBLANK(I418),0,VLOOKUP(I418,'8Příloha_2_ceník_pravid_úklid'!$B$9:$C$30,2,0))</f>
        <v>0</v>
      </c>
      <c r="I418" s="273"/>
      <c r="J418" s="241">
        <v>12.44</v>
      </c>
      <c r="K418" s="240"/>
      <c r="L418" s="242" t="s">
        <v>1216</v>
      </c>
      <c r="M418" s="237" t="s">
        <v>49</v>
      </c>
      <c r="N418" s="229" t="s">
        <v>501</v>
      </c>
      <c r="O418" s="230">
        <v>0</v>
      </c>
      <c r="P418" s="230">
        <v>0</v>
      </c>
      <c r="Q418" s="230">
        <v>0</v>
      </c>
      <c r="R418" s="230">
        <v>0</v>
      </c>
      <c r="S418" s="231">
        <f>NETWORKDAYS.INTL(DATE(2018,1,1),DATE(2018,12,31),1,{"2018/1/1";"2018/3/30";"2018/4/2";"2018/5/1";"2018/5/8";"2018/7/5";"2018/7/6";"2018/09/28";"2018/11/17";"2018/12/24";"2018/12/25";"2018/12/26"})</f>
        <v>250</v>
      </c>
      <c r="T418" s="231">
        <f t="shared" si="34"/>
        <v>115</v>
      </c>
      <c r="U418" s="231">
        <f t="shared" si="35"/>
        <v>365</v>
      </c>
      <c r="V418" s="312">
        <f t="shared" si="36"/>
        <v>0</v>
      </c>
      <c r="W418" s="233">
        <f t="shared" si="37"/>
        <v>0</v>
      </c>
      <c r="X418" s="234">
        <f t="shared" si="38"/>
        <v>0</v>
      </c>
      <c r="Y418" s="141">
        <v>0</v>
      </c>
    </row>
    <row r="419" spans="1:25" ht="15" x14ac:dyDescent="0.2">
      <c r="A419" s="235" t="s">
        <v>1204</v>
      </c>
      <c r="B419" s="236" t="s">
        <v>328</v>
      </c>
      <c r="C419" s="545" t="s">
        <v>229</v>
      </c>
      <c r="D419" s="535" t="str">
        <f>VLOOKUP(C419,'Seznam HS - nemaš'!$A$1:$B$96,2,FALSE)</f>
        <v>460600</v>
      </c>
      <c r="E419" s="237" t="s">
        <v>1224</v>
      </c>
      <c r="F419" s="303" t="s">
        <v>477</v>
      </c>
      <c r="G419" s="303"/>
      <c r="H419" s="224">
        <f>+IF(ISBLANK(I419),0,VLOOKUP(I419,'8Příloha_2_ceník_pravid_úklid'!$B$9:$C$30,2,0))</f>
        <v>0</v>
      </c>
      <c r="I419" s="273"/>
      <c r="J419" s="241">
        <v>6.31</v>
      </c>
      <c r="K419" s="240"/>
      <c r="L419" s="242" t="s">
        <v>1216</v>
      </c>
      <c r="M419" s="237" t="s">
        <v>49</v>
      </c>
      <c r="N419" s="229" t="s">
        <v>501</v>
      </c>
      <c r="O419" s="230">
        <v>0</v>
      </c>
      <c r="P419" s="230">
        <v>0</v>
      </c>
      <c r="Q419" s="230">
        <v>0</v>
      </c>
      <c r="R419" s="230">
        <v>0</v>
      </c>
      <c r="S419" s="231">
        <f>NETWORKDAYS.INTL(DATE(2018,1,1),DATE(2018,12,31),1,{"2018/1/1";"2018/3/30";"2018/4/2";"2018/5/1";"2018/5/8";"2018/7/5";"2018/7/6";"2018/09/28";"2018/11/17";"2018/12/24";"2018/12/25";"2018/12/26"})</f>
        <v>250</v>
      </c>
      <c r="T419" s="231">
        <f t="shared" si="34"/>
        <v>115</v>
      </c>
      <c r="U419" s="231">
        <f t="shared" si="35"/>
        <v>365</v>
      </c>
      <c r="V419" s="312">
        <f t="shared" si="36"/>
        <v>0</v>
      </c>
      <c r="W419" s="233">
        <f t="shared" si="37"/>
        <v>0</v>
      </c>
      <c r="X419" s="234">
        <f t="shared" si="38"/>
        <v>0</v>
      </c>
      <c r="Y419" s="141">
        <v>0</v>
      </c>
    </row>
    <row r="420" spans="1:25" ht="15" x14ac:dyDescent="0.2">
      <c r="A420" s="235" t="s">
        <v>1204</v>
      </c>
      <c r="B420" s="236" t="s">
        <v>328</v>
      </c>
      <c r="C420" s="545" t="s">
        <v>229</v>
      </c>
      <c r="D420" s="535" t="str">
        <f>VLOOKUP(C420,'Seznam HS - nemaš'!$A$1:$B$96,2,FALSE)</f>
        <v>460600</v>
      </c>
      <c r="E420" s="237" t="s">
        <v>1225</v>
      </c>
      <c r="F420" s="303" t="s">
        <v>1221</v>
      </c>
      <c r="G420" s="303"/>
      <c r="H420" s="224">
        <f>+IF(ISBLANK(I420),0,VLOOKUP(I420,'8Příloha_2_ceník_pravid_úklid'!$B$9:$C$30,2,0))</f>
        <v>0</v>
      </c>
      <c r="I420" s="273"/>
      <c r="J420" s="241">
        <v>11.3</v>
      </c>
      <c r="K420" s="240"/>
      <c r="L420" s="242" t="s">
        <v>1216</v>
      </c>
      <c r="M420" s="237" t="s">
        <v>49</v>
      </c>
      <c r="N420" s="229" t="s">
        <v>501</v>
      </c>
      <c r="O420" s="230">
        <v>0</v>
      </c>
      <c r="P420" s="230">
        <v>0</v>
      </c>
      <c r="Q420" s="230">
        <v>0</v>
      </c>
      <c r="R420" s="230">
        <v>0</v>
      </c>
      <c r="S420" s="231">
        <f>NETWORKDAYS.INTL(DATE(2018,1,1),DATE(2018,12,31),1,{"2018/1/1";"2018/3/30";"2018/4/2";"2018/5/1";"2018/5/8";"2018/7/5";"2018/7/6";"2018/09/28";"2018/11/17";"2018/12/24";"2018/12/25";"2018/12/26"})</f>
        <v>250</v>
      </c>
      <c r="T420" s="231">
        <f t="shared" si="34"/>
        <v>115</v>
      </c>
      <c r="U420" s="231">
        <f t="shared" si="35"/>
        <v>365</v>
      </c>
      <c r="V420" s="312">
        <f t="shared" si="36"/>
        <v>0</v>
      </c>
      <c r="W420" s="233">
        <f t="shared" si="37"/>
        <v>0</v>
      </c>
      <c r="X420" s="234">
        <f t="shared" si="38"/>
        <v>0</v>
      </c>
      <c r="Y420" s="141">
        <v>0</v>
      </c>
    </row>
    <row r="421" spans="1:25" ht="15" x14ac:dyDescent="0.2">
      <c r="A421" s="235" t="s">
        <v>1204</v>
      </c>
      <c r="B421" s="236" t="s">
        <v>328</v>
      </c>
      <c r="C421" s="545" t="s">
        <v>229</v>
      </c>
      <c r="D421" s="535" t="str">
        <f>VLOOKUP(C421,'Seznam HS - nemaš'!$A$1:$B$96,2,FALSE)</f>
        <v>460600</v>
      </c>
      <c r="E421" s="237" t="s">
        <v>1226</v>
      </c>
      <c r="F421" s="303" t="s">
        <v>1227</v>
      </c>
      <c r="G421" s="303"/>
      <c r="H421" s="224">
        <f>+IF(ISBLANK(I421),0,VLOOKUP(I421,'8Příloha_2_ceník_pravid_úklid'!$B$9:$C$30,2,0))</f>
        <v>0</v>
      </c>
      <c r="I421" s="273"/>
      <c r="J421" s="241">
        <v>30.26</v>
      </c>
      <c r="K421" s="240"/>
      <c r="L421" s="242" t="s">
        <v>1216</v>
      </c>
      <c r="M421" s="237" t="s">
        <v>49</v>
      </c>
      <c r="N421" s="229" t="s">
        <v>501</v>
      </c>
      <c r="O421" s="230">
        <v>0</v>
      </c>
      <c r="P421" s="230">
        <v>0</v>
      </c>
      <c r="Q421" s="230">
        <v>0</v>
      </c>
      <c r="R421" s="230">
        <v>0</v>
      </c>
      <c r="S421" s="231">
        <f>NETWORKDAYS.INTL(DATE(2018,1,1),DATE(2018,12,31),1,{"2018/1/1";"2018/3/30";"2018/4/2";"2018/5/1";"2018/5/8";"2018/7/5";"2018/7/6";"2018/09/28";"2018/11/17";"2018/12/24";"2018/12/25";"2018/12/26"})</f>
        <v>250</v>
      </c>
      <c r="T421" s="231">
        <f t="shared" si="34"/>
        <v>115</v>
      </c>
      <c r="U421" s="231">
        <f t="shared" si="35"/>
        <v>365</v>
      </c>
      <c r="V421" s="312">
        <f t="shared" si="36"/>
        <v>0</v>
      </c>
      <c r="W421" s="233">
        <f t="shared" si="37"/>
        <v>0</v>
      </c>
      <c r="X421" s="234">
        <f t="shared" si="38"/>
        <v>0</v>
      </c>
      <c r="Y421" s="141">
        <v>0</v>
      </c>
    </row>
    <row r="422" spans="1:25" ht="15" x14ac:dyDescent="0.2">
      <c r="A422" s="235" t="s">
        <v>1204</v>
      </c>
      <c r="B422" s="236" t="s">
        <v>328</v>
      </c>
      <c r="C422" s="545" t="s">
        <v>229</v>
      </c>
      <c r="D422" s="535" t="str">
        <f>VLOOKUP(C422,'Seznam HS - nemaš'!$A$1:$B$96,2,FALSE)</f>
        <v>460600</v>
      </c>
      <c r="E422" s="237" t="s">
        <v>1228</v>
      </c>
      <c r="F422" s="303" t="s">
        <v>389</v>
      </c>
      <c r="G422" s="303"/>
      <c r="H422" s="224">
        <f>+IF(ISBLANK(I422),0,VLOOKUP(I422,'8Příloha_2_ceník_pravid_úklid'!$B$9:$C$30,2,0))</f>
        <v>0</v>
      </c>
      <c r="I422" s="273"/>
      <c r="J422" s="241">
        <v>10.6</v>
      </c>
      <c r="K422" s="240"/>
      <c r="L422" s="242" t="s">
        <v>1216</v>
      </c>
      <c r="M422" s="237" t="s">
        <v>49</v>
      </c>
      <c r="N422" s="229" t="s">
        <v>501</v>
      </c>
      <c r="O422" s="230">
        <v>0</v>
      </c>
      <c r="P422" s="230">
        <v>0</v>
      </c>
      <c r="Q422" s="230">
        <v>0</v>
      </c>
      <c r="R422" s="230">
        <v>0</v>
      </c>
      <c r="S422" s="231">
        <f>NETWORKDAYS.INTL(DATE(2018,1,1),DATE(2018,12,31),1,{"2018/1/1";"2018/3/30";"2018/4/2";"2018/5/1";"2018/5/8";"2018/7/5";"2018/7/6";"2018/09/28";"2018/11/17";"2018/12/24";"2018/12/25";"2018/12/26"})</f>
        <v>250</v>
      </c>
      <c r="T422" s="231">
        <f t="shared" si="34"/>
        <v>115</v>
      </c>
      <c r="U422" s="231">
        <f t="shared" si="35"/>
        <v>365</v>
      </c>
      <c r="V422" s="312">
        <f t="shared" si="36"/>
        <v>0</v>
      </c>
      <c r="W422" s="233">
        <f t="shared" si="37"/>
        <v>0</v>
      </c>
      <c r="X422" s="234">
        <f t="shared" si="38"/>
        <v>0</v>
      </c>
      <c r="Y422" s="141">
        <v>0</v>
      </c>
    </row>
    <row r="423" spans="1:25" ht="15" x14ac:dyDescent="0.2">
      <c r="A423" s="235" t="s">
        <v>1204</v>
      </c>
      <c r="B423" s="236" t="s">
        <v>328</v>
      </c>
      <c r="C423" s="545" t="s">
        <v>229</v>
      </c>
      <c r="D423" s="535" t="str">
        <f>VLOOKUP(C423,'Seznam HS - nemaš'!$A$1:$B$96,2,FALSE)</f>
        <v>460600</v>
      </c>
      <c r="E423" s="237" t="s">
        <v>1229</v>
      </c>
      <c r="F423" s="303" t="s">
        <v>1227</v>
      </c>
      <c r="G423" s="303"/>
      <c r="H423" s="224">
        <f>+IF(ISBLANK(I423),0,VLOOKUP(I423,'8Příloha_2_ceník_pravid_úklid'!$B$9:$C$30,2,0))</f>
        <v>0</v>
      </c>
      <c r="I423" s="273"/>
      <c r="J423" s="241">
        <v>33.54</v>
      </c>
      <c r="K423" s="240"/>
      <c r="L423" s="242" t="s">
        <v>1216</v>
      </c>
      <c r="M423" s="237" t="s">
        <v>49</v>
      </c>
      <c r="N423" s="229" t="s">
        <v>501</v>
      </c>
      <c r="O423" s="230">
        <v>0</v>
      </c>
      <c r="P423" s="230">
        <v>0</v>
      </c>
      <c r="Q423" s="230">
        <v>0</v>
      </c>
      <c r="R423" s="230">
        <v>0</v>
      </c>
      <c r="S423" s="231">
        <f>NETWORKDAYS.INTL(DATE(2018,1,1),DATE(2018,12,31),1,{"2018/1/1";"2018/3/30";"2018/4/2";"2018/5/1";"2018/5/8";"2018/7/5";"2018/7/6";"2018/09/28";"2018/11/17";"2018/12/24";"2018/12/25";"2018/12/26"})</f>
        <v>250</v>
      </c>
      <c r="T423" s="231">
        <f t="shared" si="34"/>
        <v>115</v>
      </c>
      <c r="U423" s="231">
        <f t="shared" si="35"/>
        <v>365</v>
      </c>
      <c r="V423" s="312">
        <f t="shared" si="36"/>
        <v>0</v>
      </c>
      <c r="W423" s="233">
        <f t="shared" si="37"/>
        <v>0</v>
      </c>
      <c r="X423" s="234">
        <f t="shared" si="38"/>
        <v>0</v>
      </c>
      <c r="Y423" s="141">
        <v>0</v>
      </c>
    </row>
    <row r="424" spans="1:25" ht="15" x14ac:dyDescent="0.2">
      <c r="A424" s="235" t="s">
        <v>1204</v>
      </c>
      <c r="B424" s="236" t="s">
        <v>328</v>
      </c>
      <c r="C424" s="545" t="s">
        <v>229</v>
      </c>
      <c r="D424" s="535" t="str">
        <f>VLOOKUP(C424,'Seznam HS - nemaš'!$A$1:$B$96,2,FALSE)</f>
        <v>460600</v>
      </c>
      <c r="E424" s="237" t="s">
        <v>1230</v>
      </c>
      <c r="F424" s="303" t="s">
        <v>389</v>
      </c>
      <c r="G424" s="303"/>
      <c r="H424" s="224">
        <f>+IF(ISBLANK(I424),0,VLOOKUP(I424,'8Příloha_2_ceník_pravid_úklid'!$B$9:$C$30,2,0))</f>
        <v>0</v>
      </c>
      <c r="I424" s="273"/>
      <c r="J424" s="241">
        <v>8.49</v>
      </c>
      <c r="K424" s="240"/>
      <c r="L424" s="242" t="s">
        <v>1216</v>
      </c>
      <c r="M424" s="237" t="s">
        <v>49</v>
      </c>
      <c r="N424" s="229" t="s">
        <v>501</v>
      </c>
      <c r="O424" s="230">
        <v>0</v>
      </c>
      <c r="P424" s="230">
        <v>0</v>
      </c>
      <c r="Q424" s="230">
        <v>0</v>
      </c>
      <c r="R424" s="230">
        <v>0</v>
      </c>
      <c r="S424" s="231">
        <f>NETWORKDAYS.INTL(DATE(2018,1,1),DATE(2018,12,31),1,{"2018/1/1";"2018/3/30";"2018/4/2";"2018/5/1";"2018/5/8";"2018/7/5";"2018/7/6";"2018/09/28";"2018/11/17";"2018/12/24";"2018/12/25";"2018/12/26"})</f>
        <v>250</v>
      </c>
      <c r="T424" s="231">
        <f t="shared" si="34"/>
        <v>115</v>
      </c>
      <c r="U424" s="231">
        <f t="shared" si="35"/>
        <v>365</v>
      </c>
      <c r="V424" s="312">
        <f t="shared" si="36"/>
        <v>0</v>
      </c>
      <c r="W424" s="233">
        <f t="shared" si="37"/>
        <v>0</v>
      </c>
      <c r="X424" s="234">
        <f t="shared" si="38"/>
        <v>0</v>
      </c>
      <c r="Y424" s="141">
        <v>0</v>
      </c>
    </row>
    <row r="425" spans="1:25" ht="15" x14ac:dyDescent="0.2">
      <c r="A425" s="235" t="s">
        <v>1204</v>
      </c>
      <c r="B425" s="236" t="s">
        <v>328</v>
      </c>
      <c r="C425" s="545" t="s">
        <v>229</v>
      </c>
      <c r="D425" s="535" t="str">
        <f>VLOOKUP(C425,'Seznam HS - nemaš'!$A$1:$B$96,2,FALSE)</f>
        <v>460600</v>
      </c>
      <c r="E425" s="237" t="s">
        <v>1231</v>
      </c>
      <c r="F425" s="303" t="s">
        <v>554</v>
      </c>
      <c r="G425" s="303"/>
      <c r="H425" s="224">
        <f>+IF(ISBLANK(I425),0,VLOOKUP(I425,'8Příloha_2_ceník_pravid_úklid'!$B$9:$C$30,2,0))</f>
        <v>0</v>
      </c>
      <c r="I425" s="273"/>
      <c r="J425" s="241">
        <v>2.21</v>
      </c>
      <c r="K425" s="240"/>
      <c r="L425" s="310" t="s">
        <v>66</v>
      </c>
      <c r="M425" s="237" t="s">
        <v>49</v>
      </c>
      <c r="N425" s="229" t="s">
        <v>501</v>
      </c>
      <c r="O425" s="230">
        <v>0</v>
      </c>
      <c r="P425" s="230">
        <v>0</v>
      </c>
      <c r="Q425" s="230">
        <v>0</v>
      </c>
      <c r="R425" s="230">
        <v>0</v>
      </c>
      <c r="S425" s="231">
        <f>NETWORKDAYS.INTL(DATE(2018,1,1),DATE(2018,12,31),1,{"2018/1/1";"2018/3/30";"2018/4/2";"2018/5/1";"2018/5/8";"2018/7/5";"2018/7/6";"2018/09/28";"2018/11/17";"2018/12/24";"2018/12/25";"2018/12/26"})</f>
        <v>250</v>
      </c>
      <c r="T425" s="231">
        <f t="shared" si="34"/>
        <v>115</v>
      </c>
      <c r="U425" s="231">
        <f t="shared" si="35"/>
        <v>365</v>
      </c>
      <c r="V425" s="312">
        <f t="shared" si="36"/>
        <v>0</v>
      </c>
      <c r="W425" s="233">
        <f t="shared" si="37"/>
        <v>0</v>
      </c>
      <c r="X425" s="234">
        <f t="shared" si="38"/>
        <v>0</v>
      </c>
      <c r="Y425" s="141">
        <v>0</v>
      </c>
    </row>
    <row r="426" spans="1:25" ht="15" x14ac:dyDescent="0.2">
      <c r="A426" s="235" t="s">
        <v>1204</v>
      </c>
      <c r="B426" s="236" t="s">
        <v>328</v>
      </c>
      <c r="C426" s="545" t="s">
        <v>229</v>
      </c>
      <c r="D426" s="535" t="str">
        <f>VLOOKUP(C426,'Seznam HS - nemaš'!$A$1:$B$96,2,FALSE)</f>
        <v>460600</v>
      </c>
      <c r="E426" s="237" t="s">
        <v>1232</v>
      </c>
      <c r="F426" s="303" t="s">
        <v>492</v>
      </c>
      <c r="G426" s="303" t="s">
        <v>1233</v>
      </c>
      <c r="H426" s="224">
        <f>+IF(ISBLANK(I426),0,VLOOKUP(I426,'8Příloha_2_ceník_pravid_úklid'!$B$9:$C$30,2,0))</f>
        <v>0</v>
      </c>
      <c r="I426" s="273"/>
      <c r="J426" s="241">
        <v>15.84</v>
      </c>
      <c r="K426" s="240"/>
      <c r="L426" s="242" t="s">
        <v>1216</v>
      </c>
      <c r="M426" s="237" t="s">
        <v>49</v>
      </c>
      <c r="N426" s="229" t="s">
        <v>501</v>
      </c>
      <c r="O426" s="230">
        <v>0</v>
      </c>
      <c r="P426" s="230">
        <v>0</v>
      </c>
      <c r="Q426" s="230">
        <v>0</v>
      </c>
      <c r="R426" s="230">
        <v>0</v>
      </c>
      <c r="S426" s="231">
        <f>NETWORKDAYS.INTL(DATE(2018,1,1),DATE(2018,12,31),1,{"2018/1/1";"2018/3/30";"2018/4/2";"2018/5/1";"2018/5/8";"2018/7/5";"2018/7/6";"2018/09/28";"2018/11/17";"2018/12/24";"2018/12/25";"2018/12/26"})</f>
        <v>250</v>
      </c>
      <c r="T426" s="231">
        <f t="shared" si="34"/>
        <v>115</v>
      </c>
      <c r="U426" s="231">
        <f t="shared" si="35"/>
        <v>365</v>
      </c>
      <c r="V426" s="312">
        <f t="shared" si="36"/>
        <v>0</v>
      </c>
      <c r="W426" s="233">
        <f t="shared" si="37"/>
        <v>0</v>
      </c>
      <c r="X426" s="234">
        <f t="shared" si="38"/>
        <v>0</v>
      </c>
      <c r="Y426" s="141">
        <v>0</v>
      </c>
    </row>
    <row r="427" spans="1:25" ht="15" x14ac:dyDescent="0.2">
      <c r="A427" s="235" t="s">
        <v>1204</v>
      </c>
      <c r="B427" s="236" t="s">
        <v>328</v>
      </c>
      <c r="C427" s="545" t="s">
        <v>229</v>
      </c>
      <c r="D427" s="535" t="str">
        <f>VLOOKUP(C427,'Seznam HS - nemaš'!$A$1:$B$96,2,FALSE)</f>
        <v>460600</v>
      </c>
      <c r="E427" s="237" t="s">
        <v>1234</v>
      </c>
      <c r="F427" s="303" t="s">
        <v>477</v>
      </c>
      <c r="G427" s="303"/>
      <c r="H427" s="224">
        <f>+IF(ISBLANK(I427),0,VLOOKUP(I427,'8Příloha_2_ceník_pravid_úklid'!$B$9:$C$30,2,0))</f>
        <v>0</v>
      </c>
      <c r="I427" s="273"/>
      <c r="J427" s="241">
        <v>1.58</v>
      </c>
      <c r="K427" s="240"/>
      <c r="L427" s="242" t="s">
        <v>1216</v>
      </c>
      <c r="M427" s="237" t="s">
        <v>49</v>
      </c>
      <c r="N427" s="229" t="s">
        <v>501</v>
      </c>
      <c r="O427" s="230">
        <v>0</v>
      </c>
      <c r="P427" s="230">
        <v>0</v>
      </c>
      <c r="Q427" s="230">
        <v>0</v>
      </c>
      <c r="R427" s="230">
        <v>0</v>
      </c>
      <c r="S427" s="231">
        <f>NETWORKDAYS.INTL(DATE(2018,1,1),DATE(2018,12,31),1,{"2018/1/1";"2018/3/30";"2018/4/2";"2018/5/1";"2018/5/8";"2018/7/5";"2018/7/6";"2018/09/28";"2018/11/17";"2018/12/24";"2018/12/25";"2018/12/26"})</f>
        <v>250</v>
      </c>
      <c r="T427" s="231">
        <f t="shared" si="34"/>
        <v>115</v>
      </c>
      <c r="U427" s="231">
        <f t="shared" si="35"/>
        <v>365</v>
      </c>
      <c r="V427" s="312">
        <f t="shared" si="36"/>
        <v>0</v>
      </c>
      <c r="W427" s="233">
        <f t="shared" si="37"/>
        <v>0</v>
      </c>
      <c r="X427" s="234">
        <f t="shared" si="38"/>
        <v>0</v>
      </c>
      <c r="Y427" s="141">
        <v>0</v>
      </c>
    </row>
    <row r="428" spans="1:25" ht="15" x14ac:dyDescent="0.2">
      <c r="A428" s="235" t="s">
        <v>1204</v>
      </c>
      <c r="B428" s="236" t="s">
        <v>328</v>
      </c>
      <c r="C428" s="545" t="s">
        <v>229</v>
      </c>
      <c r="D428" s="535" t="str">
        <f>VLOOKUP(C428,'Seznam HS - nemaš'!$A$1:$B$96,2,FALSE)</f>
        <v>460600</v>
      </c>
      <c r="E428" s="237" t="s">
        <v>1235</v>
      </c>
      <c r="F428" s="303" t="s">
        <v>477</v>
      </c>
      <c r="G428" s="303"/>
      <c r="H428" s="224">
        <f>+IF(ISBLANK(I428),0,VLOOKUP(I428,'8Příloha_2_ceník_pravid_úklid'!$B$9:$C$30,2,0))</f>
        <v>0</v>
      </c>
      <c r="I428" s="273"/>
      <c r="J428" s="241">
        <v>2.0299999999999998</v>
      </c>
      <c r="K428" s="240"/>
      <c r="L428" s="242" t="s">
        <v>1216</v>
      </c>
      <c r="M428" s="237" t="s">
        <v>49</v>
      </c>
      <c r="N428" s="229" t="s">
        <v>501</v>
      </c>
      <c r="O428" s="230">
        <v>0</v>
      </c>
      <c r="P428" s="230">
        <v>0</v>
      </c>
      <c r="Q428" s="230">
        <v>0</v>
      </c>
      <c r="R428" s="230">
        <v>0</v>
      </c>
      <c r="S428" s="231">
        <f>NETWORKDAYS.INTL(DATE(2018,1,1),DATE(2018,12,31),1,{"2018/1/1";"2018/3/30";"2018/4/2";"2018/5/1";"2018/5/8";"2018/7/5";"2018/7/6";"2018/09/28";"2018/11/17";"2018/12/24";"2018/12/25";"2018/12/26"})</f>
        <v>250</v>
      </c>
      <c r="T428" s="231">
        <f t="shared" si="34"/>
        <v>115</v>
      </c>
      <c r="U428" s="231">
        <f t="shared" si="35"/>
        <v>365</v>
      </c>
      <c r="V428" s="312">
        <f t="shared" si="36"/>
        <v>0</v>
      </c>
      <c r="W428" s="233">
        <f t="shared" si="37"/>
        <v>0</v>
      </c>
      <c r="X428" s="234">
        <f t="shared" si="38"/>
        <v>0</v>
      </c>
      <c r="Y428" s="141">
        <v>0</v>
      </c>
    </row>
    <row r="429" spans="1:25" ht="15" x14ac:dyDescent="0.2">
      <c r="A429" s="235" t="s">
        <v>1204</v>
      </c>
      <c r="B429" s="236" t="s">
        <v>328</v>
      </c>
      <c r="C429" s="545" t="s">
        <v>229</v>
      </c>
      <c r="D429" s="535" t="str">
        <f>VLOOKUP(C429,'Seznam HS - nemaš'!$A$1:$B$96,2,FALSE)</f>
        <v>460600</v>
      </c>
      <c r="E429" s="237" t="s">
        <v>1236</v>
      </c>
      <c r="F429" s="303" t="s">
        <v>437</v>
      </c>
      <c r="G429" s="303"/>
      <c r="H429" s="224">
        <f>+IF(ISBLANK(I429),0,VLOOKUP(I429,'8Příloha_2_ceník_pravid_úklid'!$B$9:$C$30,2,0))</f>
        <v>0</v>
      </c>
      <c r="I429" s="273"/>
      <c r="J429" s="241">
        <v>1.5</v>
      </c>
      <c r="K429" s="240"/>
      <c r="L429" s="242" t="s">
        <v>1216</v>
      </c>
      <c r="M429" s="237" t="s">
        <v>49</v>
      </c>
      <c r="N429" s="229" t="s">
        <v>501</v>
      </c>
      <c r="O429" s="230">
        <v>0</v>
      </c>
      <c r="P429" s="230">
        <v>0</v>
      </c>
      <c r="Q429" s="230">
        <v>0</v>
      </c>
      <c r="R429" s="230">
        <v>0</v>
      </c>
      <c r="S429" s="231">
        <f>NETWORKDAYS.INTL(DATE(2018,1,1),DATE(2018,12,31),1,{"2018/1/1";"2018/3/30";"2018/4/2";"2018/5/1";"2018/5/8";"2018/7/5";"2018/7/6";"2018/09/28";"2018/11/17";"2018/12/24";"2018/12/25";"2018/12/26"})</f>
        <v>250</v>
      </c>
      <c r="T429" s="231">
        <f t="shared" si="34"/>
        <v>115</v>
      </c>
      <c r="U429" s="231">
        <f t="shared" si="35"/>
        <v>365</v>
      </c>
      <c r="V429" s="312">
        <f t="shared" si="36"/>
        <v>0</v>
      </c>
      <c r="W429" s="233">
        <f t="shared" si="37"/>
        <v>0</v>
      </c>
      <c r="X429" s="234">
        <f t="shared" si="38"/>
        <v>0</v>
      </c>
      <c r="Y429" s="141">
        <v>0</v>
      </c>
    </row>
    <row r="430" spans="1:25" ht="15" x14ac:dyDescent="0.2">
      <c r="A430" s="235" t="s">
        <v>1204</v>
      </c>
      <c r="B430" s="236" t="s">
        <v>328</v>
      </c>
      <c r="C430" s="545" t="s">
        <v>229</v>
      </c>
      <c r="D430" s="535" t="str">
        <f>VLOOKUP(C430,'Seznam HS - nemaš'!$A$1:$B$96,2,FALSE)</f>
        <v>460600</v>
      </c>
      <c r="E430" s="237" t="s">
        <v>1237</v>
      </c>
      <c r="F430" s="303" t="s">
        <v>437</v>
      </c>
      <c r="G430" s="303"/>
      <c r="H430" s="224">
        <f>+IF(ISBLANK(I430),0,VLOOKUP(I430,'8Příloha_2_ceník_pravid_úklid'!$B$9:$C$30,2,0))</f>
        <v>0</v>
      </c>
      <c r="I430" s="273"/>
      <c r="J430" s="241">
        <v>1.75</v>
      </c>
      <c r="K430" s="240"/>
      <c r="L430" s="242" t="s">
        <v>1216</v>
      </c>
      <c r="M430" s="237" t="s">
        <v>49</v>
      </c>
      <c r="N430" s="229" t="s">
        <v>501</v>
      </c>
      <c r="O430" s="230">
        <v>0</v>
      </c>
      <c r="P430" s="230">
        <v>0</v>
      </c>
      <c r="Q430" s="230">
        <v>0</v>
      </c>
      <c r="R430" s="230">
        <v>0</v>
      </c>
      <c r="S430" s="231">
        <f>NETWORKDAYS.INTL(DATE(2018,1,1),DATE(2018,12,31),1,{"2018/1/1";"2018/3/30";"2018/4/2";"2018/5/1";"2018/5/8";"2018/7/5";"2018/7/6";"2018/09/28";"2018/11/17";"2018/12/24";"2018/12/25";"2018/12/26"})</f>
        <v>250</v>
      </c>
      <c r="T430" s="231">
        <f t="shared" si="34"/>
        <v>115</v>
      </c>
      <c r="U430" s="231">
        <f t="shared" si="35"/>
        <v>365</v>
      </c>
      <c r="V430" s="312">
        <f t="shared" si="36"/>
        <v>0</v>
      </c>
      <c r="W430" s="233">
        <f t="shared" si="37"/>
        <v>0</v>
      </c>
      <c r="X430" s="234">
        <f t="shared" si="38"/>
        <v>0</v>
      </c>
      <c r="Y430" s="141">
        <v>0</v>
      </c>
    </row>
    <row r="431" spans="1:25" ht="15" x14ac:dyDescent="0.2">
      <c r="A431" s="235" t="s">
        <v>1204</v>
      </c>
      <c r="B431" s="396" t="s">
        <v>328</v>
      </c>
      <c r="C431" s="545" t="s">
        <v>229</v>
      </c>
      <c r="D431" s="535" t="str">
        <f>VLOOKUP(C431,'Seznam HS - nemaš'!$A$1:$B$96,2,FALSE)</f>
        <v>460600</v>
      </c>
      <c r="E431" s="273">
        <v>201</v>
      </c>
      <c r="F431" s="238" t="s">
        <v>1238</v>
      </c>
      <c r="G431" s="238"/>
      <c r="H431" s="224">
        <f>+IF(ISBLANK(I431),0,VLOOKUP(I431,'8Příloha_2_ceník_pravid_úklid'!$B$9:$C$30,2,0))</f>
        <v>0</v>
      </c>
      <c r="I431" s="273"/>
      <c r="J431" s="233">
        <v>10.98</v>
      </c>
      <c r="K431" s="229"/>
      <c r="L431" s="392" t="s">
        <v>1216</v>
      </c>
      <c r="M431" s="237" t="s">
        <v>49</v>
      </c>
      <c r="N431" s="229" t="s">
        <v>501</v>
      </c>
      <c r="O431" s="230">
        <v>0</v>
      </c>
      <c r="P431" s="230">
        <v>0</v>
      </c>
      <c r="Q431" s="230">
        <v>0</v>
      </c>
      <c r="R431" s="230">
        <v>0</v>
      </c>
      <c r="S431" s="231">
        <f>NETWORKDAYS.INTL(DATE(2018,1,1),DATE(2018,12,31),1,{"2018/1/1";"2018/3/30";"2018/4/2";"2018/5/1";"2018/5/8";"2018/7/5";"2018/7/6";"2018/09/28";"2018/11/17";"2018/12/24";"2018/12/25";"2018/12/26"})</f>
        <v>250</v>
      </c>
      <c r="T431" s="231">
        <f t="shared" si="34"/>
        <v>115</v>
      </c>
      <c r="U431" s="231">
        <f t="shared" si="35"/>
        <v>365</v>
      </c>
      <c r="V431" s="312">
        <f t="shared" si="36"/>
        <v>0</v>
      </c>
      <c r="W431" s="233">
        <f t="shared" si="37"/>
        <v>0</v>
      </c>
      <c r="X431" s="234">
        <f t="shared" si="38"/>
        <v>0</v>
      </c>
      <c r="Y431" s="141">
        <v>0</v>
      </c>
    </row>
    <row r="432" spans="1:25" ht="15" x14ac:dyDescent="0.2">
      <c r="A432" s="235" t="s">
        <v>1204</v>
      </c>
      <c r="B432" s="396" t="s">
        <v>328</v>
      </c>
      <c r="C432" s="545" t="s">
        <v>229</v>
      </c>
      <c r="D432" s="535" t="str">
        <f>VLOOKUP(C432,'Seznam HS - nemaš'!$A$1:$B$96,2,FALSE)</f>
        <v>460600</v>
      </c>
      <c r="E432" s="273">
        <v>202</v>
      </c>
      <c r="F432" s="238" t="s">
        <v>1239</v>
      </c>
      <c r="G432" s="238"/>
      <c r="H432" s="224">
        <f>+IF(ISBLANK(I432),0,VLOOKUP(I432,'8Příloha_2_ceník_pravid_úklid'!$B$9:$C$30,2,0))</f>
        <v>0</v>
      </c>
      <c r="I432" s="273"/>
      <c r="J432" s="233">
        <v>5.51</v>
      </c>
      <c r="K432" s="229"/>
      <c r="L432" s="392" t="s">
        <v>1216</v>
      </c>
      <c r="M432" s="237" t="s">
        <v>49</v>
      </c>
      <c r="N432" s="229" t="s">
        <v>501</v>
      </c>
      <c r="O432" s="230">
        <v>0</v>
      </c>
      <c r="P432" s="230">
        <v>0</v>
      </c>
      <c r="Q432" s="230">
        <v>0</v>
      </c>
      <c r="R432" s="230">
        <v>0</v>
      </c>
      <c r="S432" s="231">
        <f>NETWORKDAYS.INTL(DATE(2018,1,1),DATE(2018,12,31),1,{"2018/1/1";"2018/3/30";"2018/4/2";"2018/5/1";"2018/5/8";"2018/7/5";"2018/7/6";"2018/09/28";"2018/11/17";"2018/12/24";"2018/12/25";"2018/12/26"})</f>
        <v>250</v>
      </c>
      <c r="T432" s="231">
        <f t="shared" si="34"/>
        <v>115</v>
      </c>
      <c r="U432" s="231">
        <f t="shared" si="35"/>
        <v>365</v>
      </c>
      <c r="V432" s="312">
        <f t="shared" si="36"/>
        <v>0</v>
      </c>
      <c r="W432" s="233">
        <f t="shared" si="37"/>
        <v>0</v>
      </c>
      <c r="X432" s="234">
        <f t="shared" si="38"/>
        <v>0</v>
      </c>
      <c r="Y432" s="141">
        <v>0</v>
      </c>
    </row>
    <row r="433" spans="1:25" ht="15" x14ac:dyDescent="0.2">
      <c r="A433" s="235" t="s">
        <v>1204</v>
      </c>
      <c r="B433" s="396" t="s">
        <v>328</v>
      </c>
      <c r="C433" s="545" t="s">
        <v>229</v>
      </c>
      <c r="D433" s="535" t="str">
        <f>VLOOKUP(C433,'Seznam HS - nemaš'!$A$1:$B$96,2,FALSE)</f>
        <v>460600</v>
      </c>
      <c r="E433" s="273">
        <v>203</v>
      </c>
      <c r="F433" s="238" t="s">
        <v>1240</v>
      </c>
      <c r="G433" s="238"/>
      <c r="H433" s="224">
        <f>+IF(ISBLANK(I433),0,VLOOKUP(I433,'8Příloha_2_ceník_pravid_úklid'!$B$9:$C$30,2,0))</f>
        <v>0</v>
      </c>
      <c r="I433" s="273"/>
      <c r="J433" s="233">
        <v>5.3</v>
      </c>
      <c r="K433" s="229"/>
      <c r="L433" s="392" t="s">
        <v>1216</v>
      </c>
      <c r="M433" s="237" t="s">
        <v>49</v>
      </c>
      <c r="N433" s="229" t="s">
        <v>501</v>
      </c>
      <c r="O433" s="230">
        <v>0</v>
      </c>
      <c r="P433" s="230">
        <v>0</v>
      </c>
      <c r="Q433" s="230">
        <v>0</v>
      </c>
      <c r="R433" s="230">
        <v>0</v>
      </c>
      <c r="S433" s="231">
        <f>NETWORKDAYS.INTL(DATE(2018,1,1),DATE(2018,12,31),1,{"2018/1/1";"2018/3/30";"2018/4/2";"2018/5/1";"2018/5/8";"2018/7/5";"2018/7/6";"2018/09/28";"2018/11/17";"2018/12/24";"2018/12/25";"2018/12/26"})</f>
        <v>250</v>
      </c>
      <c r="T433" s="231">
        <f t="shared" si="34"/>
        <v>115</v>
      </c>
      <c r="U433" s="231">
        <f t="shared" si="35"/>
        <v>365</v>
      </c>
      <c r="V433" s="312">
        <f t="shared" si="36"/>
        <v>0</v>
      </c>
      <c r="W433" s="233">
        <f t="shared" si="37"/>
        <v>0</v>
      </c>
      <c r="X433" s="234">
        <f t="shared" si="38"/>
        <v>0</v>
      </c>
      <c r="Y433" s="141">
        <v>0</v>
      </c>
    </row>
    <row r="434" spans="1:25" ht="15" x14ac:dyDescent="0.2">
      <c r="A434" s="235" t="s">
        <v>1204</v>
      </c>
      <c r="B434" s="396" t="s">
        <v>328</v>
      </c>
      <c r="C434" s="545" t="s">
        <v>181</v>
      </c>
      <c r="D434" s="535" t="str">
        <f>VLOOKUP(C434,'Seznam HS - nemaš'!$A$1:$B$96,2,FALSE)</f>
        <v>417400</v>
      </c>
      <c r="E434" s="273">
        <v>204</v>
      </c>
      <c r="F434" s="238" t="s">
        <v>1241</v>
      </c>
      <c r="G434" s="238"/>
      <c r="H434" s="224">
        <f>+IF(ISBLANK(I434),0,VLOOKUP(I434,'8Příloha_2_ceník_pravid_úklid'!$B$9:$C$30,2,0))</f>
        <v>0</v>
      </c>
      <c r="I434" s="273"/>
      <c r="J434" s="233">
        <v>13.33</v>
      </c>
      <c r="K434" s="229"/>
      <c r="L434" s="392" t="s">
        <v>1216</v>
      </c>
      <c r="M434" s="237" t="s">
        <v>49</v>
      </c>
      <c r="N434" s="229" t="s">
        <v>501</v>
      </c>
      <c r="O434" s="230">
        <v>0</v>
      </c>
      <c r="P434" s="230">
        <v>0</v>
      </c>
      <c r="Q434" s="230">
        <v>0</v>
      </c>
      <c r="R434" s="230">
        <v>0</v>
      </c>
      <c r="S434" s="231">
        <f>NETWORKDAYS.INTL(DATE(2018,1,1),DATE(2018,12,31),1,{"2018/1/1";"2018/3/30";"2018/4/2";"2018/5/1";"2018/5/8";"2018/7/5";"2018/7/6";"2018/09/28";"2018/11/17";"2018/12/24";"2018/12/25";"2018/12/26"})</f>
        <v>250</v>
      </c>
      <c r="T434" s="231">
        <f t="shared" si="34"/>
        <v>115</v>
      </c>
      <c r="U434" s="231">
        <f t="shared" si="35"/>
        <v>365</v>
      </c>
      <c r="V434" s="312">
        <f t="shared" si="36"/>
        <v>0</v>
      </c>
      <c r="W434" s="233">
        <f t="shared" si="37"/>
        <v>0</v>
      </c>
      <c r="X434" s="234">
        <f t="shared" si="38"/>
        <v>0</v>
      </c>
      <c r="Y434" s="141">
        <v>0</v>
      </c>
    </row>
    <row r="435" spans="1:25" ht="15" x14ac:dyDescent="0.2">
      <c r="A435" s="235" t="s">
        <v>1204</v>
      </c>
      <c r="B435" s="396" t="s">
        <v>328</v>
      </c>
      <c r="C435" s="545" t="s">
        <v>229</v>
      </c>
      <c r="D435" s="535" t="str">
        <f>VLOOKUP(C435,'Seznam HS - nemaš'!$A$1:$B$96,2,FALSE)</f>
        <v>460600</v>
      </c>
      <c r="E435" s="273">
        <v>205</v>
      </c>
      <c r="F435" s="238" t="s">
        <v>1238</v>
      </c>
      <c r="G435" s="238"/>
      <c r="H435" s="224">
        <f>+IF(ISBLANK(I435),0,VLOOKUP(I435,'8Příloha_2_ceník_pravid_úklid'!$B$9:$C$30,2,0))</f>
        <v>0</v>
      </c>
      <c r="I435" s="273"/>
      <c r="J435" s="233">
        <v>5.08</v>
      </c>
      <c r="K435" s="229"/>
      <c r="L435" s="392" t="s">
        <v>1216</v>
      </c>
      <c r="M435" s="237" t="s">
        <v>49</v>
      </c>
      <c r="N435" s="229" t="s">
        <v>501</v>
      </c>
      <c r="O435" s="230">
        <v>0</v>
      </c>
      <c r="P435" s="230">
        <v>0</v>
      </c>
      <c r="Q435" s="230">
        <v>0</v>
      </c>
      <c r="R435" s="230">
        <v>0</v>
      </c>
      <c r="S435" s="231">
        <f>NETWORKDAYS.INTL(DATE(2018,1,1),DATE(2018,12,31),1,{"2018/1/1";"2018/3/30";"2018/4/2";"2018/5/1";"2018/5/8";"2018/7/5";"2018/7/6";"2018/09/28";"2018/11/17";"2018/12/24";"2018/12/25";"2018/12/26"})</f>
        <v>250</v>
      </c>
      <c r="T435" s="231">
        <f t="shared" si="34"/>
        <v>115</v>
      </c>
      <c r="U435" s="231">
        <f t="shared" si="35"/>
        <v>365</v>
      </c>
      <c r="V435" s="312">
        <f t="shared" si="36"/>
        <v>0</v>
      </c>
      <c r="W435" s="233">
        <f t="shared" si="37"/>
        <v>0</v>
      </c>
      <c r="X435" s="234">
        <f t="shared" si="38"/>
        <v>0</v>
      </c>
      <c r="Y435" s="141">
        <v>0</v>
      </c>
    </row>
    <row r="436" spans="1:25" ht="15" x14ac:dyDescent="0.2">
      <c r="A436" s="235" t="s">
        <v>1204</v>
      </c>
      <c r="B436" s="396" t="s">
        <v>328</v>
      </c>
      <c r="C436" s="545" t="s">
        <v>229</v>
      </c>
      <c r="D436" s="535" t="str">
        <f>VLOOKUP(C436,'Seznam HS - nemaš'!$A$1:$B$96,2,FALSE)</f>
        <v>460600</v>
      </c>
      <c r="E436" s="273">
        <v>206</v>
      </c>
      <c r="F436" s="238" t="s">
        <v>1242</v>
      </c>
      <c r="G436" s="238" t="s">
        <v>1243</v>
      </c>
      <c r="H436" s="224">
        <f>+IF(ISBLANK(I436),0,VLOOKUP(I436,'8Příloha_2_ceník_pravid_úklid'!$B$9:$C$30,2,0))</f>
        <v>0</v>
      </c>
      <c r="I436" s="273"/>
      <c r="J436" s="233">
        <v>15.63</v>
      </c>
      <c r="K436" s="229"/>
      <c r="L436" s="392" t="s">
        <v>1216</v>
      </c>
      <c r="M436" s="237" t="s">
        <v>49</v>
      </c>
      <c r="N436" s="229" t="s">
        <v>501</v>
      </c>
      <c r="O436" s="230">
        <v>0</v>
      </c>
      <c r="P436" s="230">
        <v>0</v>
      </c>
      <c r="Q436" s="230">
        <v>0</v>
      </c>
      <c r="R436" s="230">
        <v>0</v>
      </c>
      <c r="S436" s="231">
        <f>NETWORKDAYS.INTL(DATE(2018,1,1),DATE(2018,12,31),1,{"2018/1/1";"2018/3/30";"2018/4/2";"2018/5/1";"2018/5/8";"2018/7/5";"2018/7/6";"2018/09/28";"2018/11/17";"2018/12/24";"2018/12/25";"2018/12/26"})</f>
        <v>250</v>
      </c>
      <c r="T436" s="231">
        <f t="shared" si="34"/>
        <v>115</v>
      </c>
      <c r="U436" s="231">
        <f t="shared" si="35"/>
        <v>365</v>
      </c>
      <c r="V436" s="312">
        <f t="shared" si="36"/>
        <v>0</v>
      </c>
      <c r="W436" s="233">
        <f t="shared" si="37"/>
        <v>0</v>
      </c>
      <c r="X436" s="234">
        <f t="shared" si="38"/>
        <v>0</v>
      </c>
      <c r="Y436" s="141">
        <v>0</v>
      </c>
    </row>
    <row r="437" spans="1:25" ht="15" x14ac:dyDescent="0.2">
      <c r="A437" s="235" t="s">
        <v>1204</v>
      </c>
      <c r="B437" s="396" t="s">
        <v>328</v>
      </c>
      <c r="C437" s="545" t="s">
        <v>229</v>
      </c>
      <c r="D437" s="535" t="str">
        <f>VLOOKUP(C437,'Seznam HS - nemaš'!$A$1:$B$96,2,FALSE)</f>
        <v>460600</v>
      </c>
      <c r="E437" s="273">
        <v>207</v>
      </c>
      <c r="F437" s="238" t="s">
        <v>1244</v>
      </c>
      <c r="G437" s="238"/>
      <c r="H437" s="224">
        <f>+IF(ISBLANK(I437),0,VLOOKUP(I437,'8Příloha_2_ceník_pravid_úklid'!$B$9:$C$30,2,0))</f>
        <v>0</v>
      </c>
      <c r="I437" s="273"/>
      <c r="J437" s="233">
        <v>39.74</v>
      </c>
      <c r="K437" s="229"/>
      <c r="L437" s="392" t="s">
        <v>1216</v>
      </c>
      <c r="M437" s="237" t="s">
        <v>49</v>
      </c>
      <c r="N437" s="229" t="s">
        <v>501</v>
      </c>
      <c r="O437" s="230">
        <v>0</v>
      </c>
      <c r="P437" s="230">
        <v>0</v>
      </c>
      <c r="Q437" s="230">
        <v>0</v>
      </c>
      <c r="R437" s="230">
        <v>0</v>
      </c>
      <c r="S437" s="231">
        <f>NETWORKDAYS.INTL(DATE(2018,1,1),DATE(2018,12,31),1,{"2018/1/1";"2018/3/30";"2018/4/2";"2018/5/1";"2018/5/8";"2018/7/5";"2018/7/6";"2018/09/28";"2018/11/17";"2018/12/24";"2018/12/25";"2018/12/26"})</f>
        <v>250</v>
      </c>
      <c r="T437" s="231">
        <f t="shared" si="34"/>
        <v>115</v>
      </c>
      <c r="U437" s="231">
        <f t="shared" si="35"/>
        <v>365</v>
      </c>
      <c r="V437" s="312">
        <f t="shared" si="36"/>
        <v>0</v>
      </c>
      <c r="W437" s="233">
        <f t="shared" si="37"/>
        <v>0</v>
      </c>
      <c r="X437" s="234">
        <f t="shared" si="38"/>
        <v>0</v>
      </c>
      <c r="Y437" s="141">
        <v>0</v>
      </c>
    </row>
    <row r="438" spans="1:25" ht="15" x14ac:dyDescent="0.2">
      <c r="A438" s="235" t="s">
        <v>1204</v>
      </c>
      <c r="B438" s="396" t="s">
        <v>328</v>
      </c>
      <c r="C438" s="545" t="s">
        <v>229</v>
      </c>
      <c r="D438" s="535" t="str">
        <f>VLOOKUP(C438,'Seznam HS - nemaš'!$A$1:$B$96,2,FALSE)</f>
        <v>460600</v>
      </c>
      <c r="E438" s="273">
        <v>208</v>
      </c>
      <c r="F438" s="238" t="s">
        <v>1238</v>
      </c>
      <c r="G438" s="238"/>
      <c r="H438" s="224">
        <f>+IF(ISBLANK(I438),0,VLOOKUP(I438,'8Příloha_2_ceník_pravid_úklid'!$B$9:$C$30,2,0))</f>
        <v>0</v>
      </c>
      <c r="I438" s="273"/>
      <c r="J438" s="233">
        <v>11.62</v>
      </c>
      <c r="K438" s="229"/>
      <c r="L438" s="392" t="s">
        <v>1216</v>
      </c>
      <c r="M438" s="237" t="s">
        <v>49</v>
      </c>
      <c r="N438" s="229" t="s">
        <v>501</v>
      </c>
      <c r="O438" s="230">
        <v>0</v>
      </c>
      <c r="P438" s="230">
        <v>0</v>
      </c>
      <c r="Q438" s="230">
        <v>0</v>
      </c>
      <c r="R438" s="230">
        <v>0</v>
      </c>
      <c r="S438" s="231">
        <f>NETWORKDAYS.INTL(DATE(2018,1,1),DATE(2018,12,31),1,{"2018/1/1";"2018/3/30";"2018/4/2";"2018/5/1";"2018/5/8";"2018/7/5";"2018/7/6";"2018/09/28";"2018/11/17";"2018/12/24";"2018/12/25";"2018/12/26"})</f>
        <v>250</v>
      </c>
      <c r="T438" s="231">
        <f t="shared" si="34"/>
        <v>115</v>
      </c>
      <c r="U438" s="231">
        <f t="shared" si="35"/>
        <v>365</v>
      </c>
      <c r="V438" s="312">
        <f t="shared" si="36"/>
        <v>0</v>
      </c>
      <c r="W438" s="233">
        <f t="shared" si="37"/>
        <v>0</v>
      </c>
      <c r="X438" s="234">
        <f t="shared" si="38"/>
        <v>0</v>
      </c>
      <c r="Y438" s="141">
        <v>0</v>
      </c>
    </row>
    <row r="439" spans="1:25" ht="15" x14ac:dyDescent="0.2">
      <c r="A439" s="235" t="s">
        <v>1204</v>
      </c>
      <c r="B439" s="396" t="s">
        <v>328</v>
      </c>
      <c r="C439" s="545" t="s">
        <v>229</v>
      </c>
      <c r="D439" s="535" t="str">
        <f>VLOOKUP(C439,'Seznam HS - nemaš'!$A$1:$B$96,2,FALSE)</f>
        <v>460600</v>
      </c>
      <c r="E439" s="273">
        <v>209</v>
      </c>
      <c r="F439" s="238" t="s">
        <v>1245</v>
      </c>
      <c r="G439" s="238"/>
      <c r="H439" s="224">
        <f>+IF(ISBLANK(I439),0,VLOOKUP(I439,'8Příloha_2_ceník_pravid_úklid'!$B$9:$C$30,2,0))</f>
        <v>0</v>
      </c>
      <c r="I439" s="273"/>
      <c r="J439" s="233">
        <v>15.83</v>
      </c>
      <c r="K439" s="229"/>
      <c r="L439" s="392" t="s">
        <v>1216</v>
      </c>
      <c r="M439" s="237" t="s">
        <v>49</v>
      </c>
      <c r="N439" s="229" t="s">
        <v>501</v>
      </c>
      <c r="O439" s="230">
        <v>0</v>
      </c>
      <c r="P439" s="230">
        <v>0</v>
      </c>
      <c r="Q439" s="230">
        <v>0</v>
      </c>
      <c r="R439" s="230">
        <v>0</v>
      </c>
      <c r="S439" s="231">
        <f>NETWORKDAYS.INTL(DATE(2018,1,1),DATE(2018,12,31),1,{"2018/1/1";"2018/3/30";"2018/4/2";"2018/5/1";"2018/5/8";"2018/7/5";"2018/7/6";"2018/09/28";"2018/11/17";"2018/12/24";"2018/12/25";"2018/12/26"})</f>
        <v>250</v>
      </c>
      <c r="T439" s="231">
        <f t="shared" si="34"/>
        <v>115</v>
      </c>
      <c r="U439" s="231">
        <f t="shared" si="35"/>
        <v>365</v>
      </c>
      <c r="V439" s="312">
        <f t="shared" si="36"/>
        <v>0</v>
      </c>
      <c r="W439" s="233">
        <f t="shared" si="37"/>
        <v>0</v>
      </c>
      <c r="X439" s="234">
        <f t="shared" si="38"/>
        <v>0</v>
      </c>
      <c r="Y439" s="141">
        <v>0</v>
      </c>
    </row>
    <row r="440" spans="1:25" ht="15" x14ac:dyDescent="0.2">
      <c r="A440" s="235" t="s">
        <v>1204</v>
      </c>
      <c r="B440" s="396" t="s">
        <v>328</v>
      </c>
      <c r="C440" s="545" t="s">
        <v>181</v>
      </c>
      <c r="D440" s="535" t="str">
        <f>VLOOKUP(C440,'Seznam HS - nemaš'!$A$1:$B$96,2,FALSE)</f>
        <v>417400</v>
      </c>
      <c r="E440" s="273">
        <v>210</v>
      </c>
      <c r="F440" s="238" t="s">
        <v>1246</v>
      </c>
      <c r="G440" s="238"/>
      <c r="H440" s="224">
        <f>+IF(ISBLANK(I440),0,VLOOKUP(I440,'8Příloha_2_ceník_pravid_úklid'!$B$9:$C$30,2,0))</f>
        <v>0</v>
      </c>
      <c r="I440" s="273"/>
      <c r="J440" s="233">
        <v>30.37</v>
      </c>
      <c r="K440" s="229"/>
      <c r="L440" s="392" t="s">
        <v>1216</v>
      </c>
      <c r="M440" s="237" t="s">
        <v>49</v>
      </c>
      <c r="N440" s="229" t="s">
        <v>501</v>
      </c>
      <c r="O440" s="230">
        <v>0</v>
      </c>
      <c r="P440" s="230">
        <v>0</v>
      </c>
      <c r="Q440" s="230">
        <v>0</v>
      </c>
      <c r="R440" s="230">
        <v>0</v>
      </c>
      <c r="S440" s="231">
        <f>NETWORKDAYS.INTL(DATE(2018,1,1),DATE(2018,12,31),1,{"2018/1/1";"2018/3/30";"2018/4/2";"2018/5/1";"2018/5/8";"2018/7/5";"2018/7/6";"2018/09/28";"2018/11/17";"2018/12/24";"2018/12/25";"2018/12/26"})</f>
        <v>250</v>
      </c>
      <c r="T440" s="231">
        <f t="shared" si="34"/>
        <v>115</v>
      </c>
      <c r="U440" s="231">
        <f t="shared" si="35"/>
        <v>365</v>
      </c>
      <c r="V440" s="312">
        <f t="shared" si="36"/>
        <v>0</v>
      </c>
      <c r="W440" s="233">
        <f t="shared" si="37"/>
        <v>0</v>
      </c>
      <c r="X440" s="234">
        <f t="shared" si="38"/>
        <v>0</v>
      </c>
      <c r="Y440" s="141">
        <v>0</v>
      </c>
    </row>
    <row r="441" spans="1:25" ht="15" x14ac:dyDescent="0.2">
      <c r="A441" s="235" t="s">
        <v>1204</v>
      </c>
      <c r="B441" s="396" t="s">
        <v>328</v>
      </c>
      <c r="C441" s="545" t="s">
        <v>229</v>
      </c>
      <c r="D441" s="535" t="str">
        <f>VLOOKUP(C441,'Seznam HS - nemaš'!$A$1:$B$96,2,FALSE)</f>
        <v>460600</v>
      </c>
      <c r="E441" s="273" t="s">
        <v>1247</v>
      </c>
      <c r="F441" s="238" t="s">
        <v>1238</v>
      </c>
      <c r="G441" s="238"/>
      <c r="H441" s="224">
        <f>+IF(ISBLANK(I441),0,VLOOKUP(I441,'8Příloha_2_ceník_pravid_úklid'!$B$9:$C$30,2,0))</f>
        <v>0</v>
      </c>
      <c r="I441" s="273"/>
      <c r="J441" s="233">
        <v>10.02</v>
      </c>
      <c r="K441" s="229"/>
      <c r="L441" s="392" t="s">
        <v>1216</v>
      </c>
      <c r="M441" s="237" t="s">
        <v>49</v>
      </c>
      <c r="N441" s="229" t="s">
        <v>501</v>
      </c>
      <c r="O441" s="230">
        <v>0</v>
      </c>
      <c r="P441" s="230">
        <v>0</v>
      </c>
      <c r="Q441" s="230">
        <v>0</v>
      </c>
      <c r="R441" s="230">
        <v>0</v>
      </c>
      <c r="S441" s="231">
        <f>NETWORKDAYS.INTL(DATE(2018,1,1),DATE(2018,12,31),1,{"2018/1/1";"2018/3/30";"2018/4/2";"2018/5/1";"2018/5/8";"2018/7/5";"2018/7/6";"2018/09/28";"2018/11/17";"2018/12/24";"2018/12/25";"2018/12/26"})</f>
        <v>250</v>
      </c>
      <c r="T441" s="231">
        <f t="shared" si="34"/>
        <v>115</v>
      </c>
      <c r="U441" s="231">
        <f t="shared" si="35"/>
        <v>365</v>
      </c>
      <c r="V441" s="312">
        <f t="shared" si="36"/>
        <v>0</v>
      </c>
      <c r="W441" s="233">
        <f t="shared" si="37"/>
        <v>0</v>
      </c>
      <c r="X441" s="234">
        <f t="shared" si="38"/>
        <v>0</v>
      </c>
      <c r="Y441" s="141">
        <v>0</v>
      </c>
    </row>
    <row r="442" spans="1:25" ht="15" x14ac:dyDescent="0.2">
      <c r="A442" s="235" t="s">
        <v>670</v>
      </c>
      <c r="B442" s="236" t="s">
        <v>328</v>
      </c>
      <c r="C442" s="236"/>
      <c r="D442" s="535">
        <f>VLOOKUP(C442,'Seznam HS - nemaš'!$A$1:$B$96,2,FALSE)</f>
        <v>0</v>
      </c>
      <c r="E442" s="237" t="s">
        <v>1248</v>
      </c>
      <c r="F442" s="303" t="s">
        <v>505</v>
      </c>
      <c r="G442" s="303" t="s">
        <v>1249</v>
      </c>
      <c r="H442" s="224">
        <f>+IF(ISBLANK(I442),0,VLOOKUP(I442,'8Příloha_2_ceník_pravid_úklid'!$B$9:$C$30,2,0))</f>
        <v>0</v>
      </c>
      <c r="I442" s="273"/>
      <c r="J442" s="239">
        <v>67.2</v>
      </c>
      <c r="K442" s="240"/>
      <c r="L442" s="242" t="s">
        <v>387</v>
      </c>
      <c r="M442" s="237"/>
      <c r="N442" s="229" t="s">
        <v>501</v>
      </c>
      <c r="O442" s="230">
        <v>0</v>
      </c>
      <c r="P442" s="230">
        <v>0</v>
      </c>
      <c r="Q442" s="230">
        <v>0</v>
      </c>
      <c r="R442" s="230">
        <v>0</v>
      </c>
      <c r="S442" s="231">
        <f>NETWORKDAYS.INTL(DATE(2018,1,1),DATE(2018,12,31),1,{"2018/1/1";"2018/3/30";"2018/4/2";"2018/5/1";"2018/5/8";"2018/7/5";"2018/7/6";"2018/09/28";"2018/11/17";"2018/12/24";"2018/12/25";"2018/12/26"})</f>
        <v>250</v>
      </c>
      <c r="T442" s="231">
        <f t="shared" si="34"/>
        <v>115</v>
      </c>
      <c r="U442" s="231">
        <f t="shared" si="35"/>
        <v>365</v>
      </c>
      <c r="V442" s="312">
        <f t="shared" si="36"/>
        <v>0</v>
      </c>
      <c r="W442" s="233">
        <f t="shared" si="37"/>
        <v>0</v>
      </c>
      <c r="X442" s="234">
        <f t="shared" si="38"/>
        <v>0</v>
      </c>
      <c r="Y442" s="234">
        <f t="shared" si="38"/>
        <v>0</v>
      </c>
    </row>
    <row r="443" spans="1:25" ht="15" x14ac:dyDescent="0.2">
      <c r="A443" s="235" t="s">
        <v>670</v>
      </c>
      <c r="B443" s="236" t="s">
        <v>328</v>
      </c>
      <c r="C443" s="236"/>
      <c r="D443" s="535">
        <f>VLOOKUP(C443,'Seznam HS - nemaš'!$A$1:$B$96,2,FALSE)</f>
        <v>0</v>
      </c>
      <c r="E443" s="237" t="s">
        <v>1250</v>
      </c>
      <c r="F443" s="303" t="s">
        <v>336</v>
      </c>
      <c r="G443" s="303" t="s">
        <v>1024</v>
      </c>
      <c r="H443" s="224">
        <f>+IF(ISBLANK(I443),0,VLOOKUP(I443,'8Příloha_2_ceník_pravid_úklid'!$B$9:$C$30,2,0))</f>
        <v>0</v>
      </c>
      <c r="I443" s="273"/>
      <c r="J443" s="239">
        <v>11.38</v>
      </c>
      <c r="K443" s="240"/>
      <c r="L443" s="242" t="s">
        <v>387</v>
      </c>
      <c r="M443" s="237"/>
      <c r="N443" s="229" t="s">
        <v>501</v>
      </c>
      <c r="O443" s="230">
        <v>0</v>
      </c>
      <c r="P443" s="230">
        <v>0</v>
      </c>
      <c r="Q443" s="230">
        <v>0</v>
      </c>
      <c r="R443" s="230">
        <v>0</v>
      </c>
      <c r="S443" s="231">
        <f>NETWORKDAYS.INTL(DATE(2018,1,1),DATE(2018,12,31),1,{"2018/1/1";"2018/3/30";"2018/4/2";"2018/5/1";"2018/5/8";"2018/7/5";"2018/7/6";"2018/09/28";"2018/11/17";"2018/12/24";"2018/12/25";"2018/12/26"})</f>
        <v>250</v>
      </c>
      <c r="T443" s="231">
        <f t="shared" si="34"/>
        <v>115</v>
      </c>
      <c r="U443" s="231">
        <f t="shared" si="35"/>
        <v>365</v>
      </c>
      <c r="V443" s="312">
        <f t="shared" si="36"/>
        <v>0</v>
      </c>
      <c r="W443" s="233">
        <f t="shared" si="37"/>
        <v>0</v>
      </c>
      <c r="X443" s="234">
        <f t="shared" si="38"/>
        <v>0</v>
      </c>
      <c r="Y443" s="234">
        <f t="shared" si="38"/>
        <v>0</v>
      </c>
    </row>
    <row r="444" spans="1:25" ht="15" x14ac:dyDescent="0.2">
      <c r="A444" s="276" t="s">
        <v>767</v>
      </c>
      <c r="B444" s="23" t="s">
        <v>328</v>
      </c>
      <c r="C444" s="23"/>
      <c r="D444" s="139">
        <f>VLOOKUP(C444,'Seznam HS - nemaš'!$A$1:$B$96,2,FALSE)</f>
        <v>0</v>
      </c>
      <c r="E444" s="22" t="s">
        <v>1251</v>
      </c>
      <c r="F444" s="30" t="s">
        <v>53</v>
      </c>
      <c r="G444" s="30" t="s">
        <v>1252</v>
      </c>
      <c r="H444" s="28">
        <f>+IF(ISBLANK(I444),0,VLOOKUP(I444,'8Příloha_2_ceník_pravid_úklid'!$B$9:$C$30,2,0))</f>
        <v>6</v>
      </c>
      <c r="I444" s="143" t="s">
        <v>1</v>
      </c>
      <c r="J444" s="245">
        <v>50.94</v>
      </c>
      <c r="K444" s="275" t="s">
        <v>51</v>
      </c>
      <c r="L444" s="30" t="s">
        <v>956</v>
      </c>
      <c r="M444" s="22" t="s">
        <v>771</v>
      </c>
      <c r="N444" s="24">
        <f>IF((VLOOKUP(I444,'8Příloha_2_ceník_pravid_úklid'!$B$9:$I$30,8,0))=0,VLOOKUP(I444,'8Příloha_2_ceník_pravid_úklid'!$B$9:$K$30,10,0),VLOOKUP(I444,'8Příloha_2_ceník_pravid_úklid'!$B$9:$I$30,8,0))</f>
        <v>0</v>
      </c>
      <c r="O444" s="20">
        <v>2</v>
      </c>
      <c r="P444" s="20">
        <v>1</v>
      </c>
      <c r="Q444" s="20">
        <v>1</v>
      </c>
      <c r="R444" s="20">
        <v>1</v>
      </c>
      <c r="S444" s="21">
        <f>NETWORKDAYS.INTL(DATE(2018,1,1),DATE(2018,12,31),1,{"2018/1/1";"2018/3/30";"2018/4/2";"2018/5/1";"2018/5/8";"2018/7/5";"2018/7/6";"2018/09/28";"2018/11/17";"2018/12/24";"2018/12/25";"2018/12/26"})</f>
        <v>250</v>
      </c>
      <c r="T444" s="21">
        <f t="shared" si="34"/>
        <v>115</v>
      </c>
      <c r="U444" s="21">
        <f t="shared" si="35"/>
        <v>365</v>
      </c>
      <c r="V444" s="311">
        <f t="shared" si="36"/>
        <v>615</v>
      </c>
      <c r="W444" s="140">
        <f t="shared" si="37"/>
        <v>0</v>
      </c>
      <c r="X444" s="141">
        <f t="shared" si="38"/>
        <v>0</v>
      </c>
      <c r="Y444" s="141">
        <v>0</v>
      </c>
    </row>
    <row r="445" spans="1:25" ht="15" x14ac:dyDescent="0.2">
      <c r="A445" s="235" t="s">
        <v>767</v>
      </c>
      <c r="B445" s="236" t="s">
        <v>328</v>
      </c>
      <c r="C445" s="236"/>
      <c r="D445" s="535">
        <f>VLOOKUP(C445,'Seznam HS - nemaš'!$A$1:$B$96,2,FALSE)</f>
        <v>0</v>
      </c>
      <c r="E445" s="237"/>
      <c r="F445" s="303" t="s">
        <v>1072</v>
      </c>
      <c r="G445" s="303"/>
      <c r="H445" s="224">
        <f>+IF(ISBLANK(I445),0,VLOOKUP(I445,'8Příloha_2_ceník_pravid_úklid'!$B$9:$C$30,2,0))</f>
        <v>0</v>
      </c>
      <c r="I445" s="273"/>
      <c r="J445" s="239">
        <v>7.26</v>
      </c>
      <c r="K445" s="240"/>
      <c r="L445" s="242" t="s">
        <v>387</v>
      </c>
      <c r="M445" s="237"/>
      <c r="N445" s="229" t="s">
        <v>501</v>
      </c>
      <c r="O445" s="230">
        <v>0</v>
      </c>
      <c r="P445" s="230">
        <v>0</v>
      </c>
      <c r="Q445" s="230">
        <v>0</v>
      </c>
      <c r="R445" s="230">
        <v>0</v>
      </c>
      <c r="S445" s="231">
        <f>NETWORKDAYS.INTL(DATE(2018,1,1),DATE(2018,12,31),1,{"2018/1/1";"2018/3/30";"2018/4/2";"2018/5/1";"2018/5/8";"2018/7/5";"2018/7/6";"2018/09/28";"2018/11/17";"2018/12/24";"2018/12/25";"2018/12/26"})</f>
        <v>250</v>
      </c>
      <c r="T445" s="231">
        <f t="shared" si="34"/>
        <v>115</v>
      </c>
      <c r="U445" s="231">
        <f t="shared" si="35"/>
        <v>365</v>
      </c>
      <c r="V445" s="312">
        <f t="shared" si="36"/>
        <v>0</v>
      </c>
      <c r="W445" s="233">
        <f t="shared" si="37"/>
        <v>0</v>
      </c>
      <c r="X445" s="234">
        <f t="shared" si="38"/>
        <v>0</v>
      </c>
      <c r="Y445" s="234">
        <f t="shared" si="38"/>
        <v>0</v>
      </c>
    </row>
    <row r="446" spans="1:25" ht="15" x14ac:dyDescent="0.2">
      <c r="A446" s="235" t="s">
        <v>767</v>
      </c>
      <c r="B446" s="236" t="s">
        <v>328</v>
      </c>
      <c r="C446" s="236"/>
      <c r="D446" s="535">
        <f>VLOOKUP(C446,'Seznam HS - nemaš'!$A$1:$B$96,2,FALSE)</f>
        <v>0</v>
      </c>
      <c r="E446" s="237"/>
      <c r="F446" s="303" t="s">
        <v>1070</v>
      </c>
      <c r="G446" s="303"/>
      <c r="H446" s="224">
        <f>+IF(ISBLANK(I446),0,VLOOKUP(I446,'8Příloha_2_ceník_pravid_úklid'!$B$9:$C$30,2,0))</f>
        <v>0</v>
      </c>
      <c r="I446" s="273"/>
      <c r="J446" s="239">
        <v>4.33</v>
      </c>
      <c r="K446" s="240"/>
      <c r="L446" s="242" t="s">
        <v>387</v>
      </c>
      <c r="M446" s="237"/>
      <c r="N446" s="229" t="s">
        <v>501</v>
      </c>
      <c r="O446" s="230">
        <v>0</v>
      </c>
      <c r="P446" s="230">
        <v>0</v>
      </c>
      <c r="Q446" s="230">
        <v>0</v>
      </c>
      <c r="R446" s="230">
        <v>0</v>
      </c>
      <c r="S446" s="231">
        <f>NETWORKDAYS.INTL(DATE(2018,1,1),DATE(2018,12,31),1,{"2018/1/1";"2018/3/30";"2018/4/2";"2018/5/1";"2018/5/8";"2018/7/5";"2018/7/6";"2018/09/28";"2018/11/17";"2018/12/24";"2018/12/25";"2018/12/26"})</f>
        <v>250</v>
      </c>
      <c r="T446" s="231">
        <f t="shared" si="34"/>
        <v>115</v>
      </c>
      <c r="U446" s="231">
        <f t="shared" si="35"/>
        <v>365</v>
      </c>
      <c r="V446" s="312">
        <f t="shared" si="36"/>
        <v>0</v>
      </c>
      <c r="W446" s="233">
        <f t="shared" si="37"/>
        <v>0</v>
      </c>
      <c r="X446" s="234">
        <f t="shared" si="38"/>
        <v>0</v>
      </c>
      <c r="Y446" s="234">
        <f t="shared" si="38"/>
        <v>0</v>
      </c>
    </row>
    <row r="447" spans="1:25" ht="15" x14ac:dyDescent="0.2">
      <c r="A447" s="276" t="s">
        <v>767</v>
      </c>
      <c r="B447" s="23" t="s">
        <v>328</v>
      </c>
      <c r="C447" s="23"/>
      <c r="D447" s="139">
        <f>VLOOKUP(C447,'Seznam HS - nemaš'!$A$1:$B$96,2,FALSE)</f>
        <v>0</v>
      </c>
      <c r="E447" s="22" t="s">
        <v>1253</v>
      </c>
      <c r="F447" s="30" t="s">
        <v>350</v>
      </c>
      <c r="G447" s="30" t="s">
        <v>1254</v>
      </c>
      <c r="H447" s="28">
        <f>+IF(ISBLANK(I447),0,VLOOKUP(I447,'8Příloha_2_ceník_pravid_úklid'!$B$9:$C$30,2,0))</f>
        <v>6</v>
      </c>
      <c r="I447" s="143" t="s">
        <v>1</v>
      </c>
      <c r="J447" s="245">
        <v>44.96</v>
      </c>
      <c r="K447" s="275" t="s">
        <v>50</v>
      </c>
      <c r="L447" s="315" t="s">
        <v>65</v>
      </c>
      <c r="M447" s="22" t="s">
        <v>771</v>
      </c>
      <c r="N447" s="24">
        <f>IF((VLOOKUP(I447,'8Příloha_2_ceník_pravid_úklid'!$B$9:$I$30,8,0))=0,VLOOKUP(I447,'8Příloha_2_ceník_pravid_úklid'!$B$9:$K$30,10,0),VLOOKUP(I447,'8Příloha_2_ceník_pravid_úklid'!$B$9:$I$30,8,0))</f>
        <v>0</v>
      </c>
      <c r="O447" s="20">
        <v>2</v>
      </c>
      <c r="P447" s="20">
        <v>1</v>
      </c>
      <c r="Q447" s="20">
        <v>0</v>
      </c>
      <c r="R447" s="20">
        <v>0</v>
      </c>
      <c r="S447" s="21">
        <f>NETWORKDAYS.INTL(DATE(2018,1,1),DATE(2018,12,31),1,{"2018/1/1";"2018/3/30";"2018/4/2";"2018/5/1";"2018/5/8";"2018/7/5";"2018/7/6";"2018/09/28";"2018/11/17";"2018/12/24";"2018/12/25";"2018/12/26"})</f>
        <v>250</v>
      </c>
      <c r="T447" s="21">
        <f t="shared" si="34"/>
        <v>115</v>
      </c>
      <c r="U447" s="21">
        <f t="shared" si="35"/>
        <v>365</v>
      </c>
      <c r="V447" s="311">
        <f t="shared" si="36"/>
        <v>500</v>
      </c>
      <c r="W447" s="140">
        <f t="shared" si="37"/>
        <v>0</v>
      </c>
      <c r="X447" s="141">
        <f t="shared" si="38"/>
        <v>0</v>
      </c>
      <c r="Y447" s="141">
        <v>0</v>
      </c>
    </row>
    <row r="448" spans="1:25" ht="15" x14ac:dyDescent="0.2">
      <c r="A448" s="276" t="s">
        <v>1163</v>
      </c>
      <c r="B448" s="23" t="s">
        <v>328</v>
      </c>
      <c r="C448" s="32" t="s">
        <v>187</v>
      </c>
      <c r="D448" s="139" t="str">
        <f>VLOOKUP(C448,'Seznam HS - nemaš'!$A$1:$B$96,2,FALSE)</f>
        <v>430101</v>
      </c>
      <c r="E448" s="22" t="s">
        <v>1255</v>
      </c>
      <c r="F448" s="30" t="s">
        <v>53</v>
      </c>
      <c r="G448" s="30" t="s">
        <v>1256</v>
      </c>
      <c r="H448" s="28">
        <f>+IF(ISBLANK(I448),0,VLOOKUP(I448,'8Příloha_2_ceník_pravid_úklid'!$B$9:$C$30,2,0))</f>
        <v>6</v>
      </c>
      <c r="I448" s="143" t="s">
        <v>1</v>
      </c>
      <c r="J448" s="245">
        <v>24.01</v>
      </c>
      <c r="K448" s="275" t="s">
        <v>51</v>
      </c>
      <c r="L448" s="156" t="s">
        <v>22</v>
      </c>
      <c r="M448" s="22" t="s">
        <v>49</v>
      </c>
      <c r="N448" s="24">
        <f>IF((VLOOKUP(I448,'8Příloha_2_ceník_pravid_úklid'!$B$9:$I$30,8,0))=0,VLOOKUP(I448,'8Příloha_2_ceník_pravid_úklid'!$B$9:$K$30,10,0),VLOOKUP(I448,'8Příloha_2_ceník_pravid_úklid'!$B$9:$I$30,8,0))</f>
        <v>0</v>
      </c>
      <c r="O448" s="20">
        <v>2</v>
      </c>
      <c r="P448" s="20">
        <v>1</v>
      </c>
      <c r="Q448" s="20">
        <v>2</v>
      </c>
      <c r="R448" s="20">
        <v>1</v>
      </c>
      <c r="S448" s="21">
        <f>NETWORKDAYS.INTL(DATE(2018,1,1),DATE(2018,12,31),1,{"2018/1/1";"2018/3/30";"2018/4/2";"2018/5/1";"2018/5/8";"2018/7/5";"2018/7/6";"2018/09/28";"2018/11/17";"2018/12/24";"2018/12/25";"2018/12/26"})</f>
        <v>250</v>
      </c>
      <c r="T448" s="21">
        <f t="shared" si="34"/>
        <v>115</v>
      </c>
      <c r="U448" s="21">
        <f t="shared" si="35"/>
        <v>365</v>
      </c>
      <c r="V448" s="311">
        <f t="shared" si="36"/>
        <v>730</v>
      </c>
      <c r="W448" s="140">
        <f t="shared" si="37"/>
        <v>0</v>
      </c>
      <c r="X448" s="141">
        <f t="shared" si="38"/>
        <v>0</v>
      </c>
      <c r="Y448" s="141">
        <v>0</v>
      </c>
    </row>
    <row r="449" spans="1:25" ht="15" x14ac:dyDescent="0.2">
      <c r="A449" s="276" t="s">
        <v>767</v>
      </c>
      <c r="B449" s="23" t="s">
        <v>328</v>
      </c>
      <c r="C449" s="23"/>
      <c r="D449" s="139">
        <f>VLOOKUP(C449,'Seznam HS - nemaš'!$A$1:$B$96,2,FALSE)</f>
        <v>0</v>
      </c>
      <c r="E449" s="22" t="s">
        <v>1257</v>
      </c>
      <c r="F449" s="30" t="s">
        <v>336</v>
      </c>
      <c r="G449" s="30" t="s">
        <v>337</v>
      </c>
      <c r="H449" s="28">
        <f>+IF(ISBLANK(I449),0,VLOOKUP(I449,'8Příloha_2_ceník_pravid_úklid'!$B$9:$C$30,2,0))</f>
        <v>8</v>
      </c>
      <c r="I449" s="143" t="s">
        <v>11</v>
      </c>
      <c r="J449" s="245">
        <v>22.73</v>
      </c>
      <c r="K449" s="275" t="s">
        <v>64</v>
      </c>
      <c r="L449" s="393" t="s">
        <v>956</v>
      </c>
      <c r="M449" s="22" t="s">
        <v>49</v>
      </c>
      <c r="N449" s="24">
        <f>IF((VLOOKUP(I449,'8Příloha_2_ceník_pravid_úklid'!$B$9:$I$30,8,0))=0,VLOOKUP(I449,'8Příloha_2_ceník_pravid_úklid'!$B$9:$K$30,10,0),VLOOKUP(I449,'8Příloha_2_ceník_pravid_úklid'!$B$9:$I$30,8,0))</f>
        <v>0</v>
      </c>
      <c r="O449" s="20">
        <v>2</v>
      </c>
      <c r="P449" s="20">
        <v>1</v>
      </c>
      <c r="Q449" s="20">
        <v>1</v>
      </c>
      <c r="R449" s="20">
        <v>1</v>
      </c>
      <c r="S449" s="21">
        <f>NETWORKDAYS.INTL(DATE(2018,1,1),DATE(2018,12,31),1,{"2018/1/1";"2018/3/30";"2018/4/2";"2018/5/1";"2018/5/8";"2018/7/5";"2018/7/6";"2018/09/28";"2018/11/17";"2018/12/24";"2018/12/25";"2018/12/26"})</f>
        <v>250</v>
      </c>
      <c r="T449" s="21">
        <f t="shared" si="34"/>
        <v>115</v>
      </c>
      <c r="U449" s="21">
        <f t="shared" si="35"/>
        <v>365</v>
      </c>
      <c r="V449" s="311">
        <f t="shared" si="36"/>
        <v>615</v>
      </c>
      <c r="W449" s="140">
        <f t="shared" si="37"/>
        <v>0</v>
      </c>
      <c r="X449" s="141">
        <f t="shared" si="38"/>
        <v>0</v>
      </c>
      <c r="Y449" s="141">
        <v>0</v>
      </c>
    </row>
    <row r="450" spans="1:25" ht="15" x14ac:dyDescent="0.2">
      <c r="A450" s="235" t="s">
        <v>767</v>
      </c>
      <c r="B450" s="236" t="s">
        <v>328</v>
      </c>
      <c r="C450" s="236"/>
      <c r="D450" s="535">
        <f>VLOOKUP(C450,'Seznam HS - nemaš'!$A$1:$B$96,2,FALSE)</f>
        <v>0</v>
      </c>
      <c r="E450" s="237" t="s">
        <v>1258</v>
      </c>
      <c r="F450" s="303" t="s">
        <v>398</v>
      </c>
      <c r="G450" s="303"/>
      <c r="H450" s="224">
        <f>+IF(ISBLANK(I450),0,VLOOKUP(I450,'8Příloha_2_ceník_pravid_úklid'!$B$9:$C$30,2,0))</f>
        <v>0</v>
      </c>
      <c r="I450" s="273"/>
      <c r="J450" s="239"/>
      <c r="K450" s="240"/>
      <c r="L450" s="242" t="s">
        <v>387</v>
      </c>
      <c r="M450" s="237"/>
      <c r="N450" s="229" t="s">
        <v>501</v>
      </c>
      <c r="O450" s="230">
        <v>0</v>
      </c>
      <c r="P450" s="230">
        <v>0</v>
      </c>
      <c r="Q450" s="230">
        <v>0</v>
      </c>
      <c r="R450" s="230">
        <v>0</v>
      </c>
      <c r="S450" s="231">
        <f>NETWORKDAYS.INTL(DATE(2018,1,1),DATE(2018,12,31),1,{"2018/1/1";"2018/3/30";"2018/4/2";"2018/5/1";"2018/5/8";"2018/7/5";"2018/7/6";"2018/09/28";"2018/11/17";"2018/12/24";"2018/12/25";"2018/12/26"})</f>
        <v>250</v>
      </c>
      <c r="T450" s="231">
        <f t="shared" si="34"/>
        <v>115</v>
      </c>
      <c r="U450" s="231">
        <f t="shared" si="35"/>
        <v>365</v>
      </c>
      <c r="V450" s="312">
        <f t="shared" si="36"/>
        <v>0</v>
      </c>
      <c r="W450" s="233">
        <f t="shared" si="37"/>
        <v>0</v>
      </c>
      <c r="X450" s="234">
        <f t="shared" si="38"/>
        <v>0</v>
      </c>
      <c r="Y450" s="234">
        <f t="shared" si="38"/>
        <v>0</v>
      </c>
    </row>
    <row r="451" spans="1:25" ht="15" x14ac:dyDescent="0.2">
      <c r="A451" s="235" t="s">
        <v>1259</v>
      </c>
      <c r="B451" s="236" t="s">
        <v>328</v>
      </c>
      <c r="C451" s="236" t="s">
        <v>189</v>
      </c>
      <c r="D451" s="535" t="str">
        <f>VLOOKUP(C451,'Seznam HS - nemaš'!$A$1:$B$96,2,FALSE)</f>
        <v>430200</v>
      </c>
      <c r="E451" s="237" t="s">
        <v>1260</v>
      </c>
      <c r="F451" s="303" t="s">
        <v>560</v>
      </c>
      <c r="G451" s="303" t="s">
        <v>1261</v>
      </c>
      <c r="H451" s="224">
        <f>+IF(ISBLANK(I451),0,VLOOKUP(I451,'8Příloha_2_ceník_pravid_úklid'!$B$9:$C$30,2,0))</f>
        <v>17</v>
      </c>
      <c r="I451" s="273" t="s">
        <v>13</v>
      </c>
      <c r="J451" s="241">
        <v>9.67</v>
      </c>
      <c r="K451" s="240" t="s">
        <v>51</v>
      </c>
      <c r="L451" s="392" t="s">
        <v>647</v>
      </c>
      <c r="M451" s="237" t="s">
        <v>49</v>
      </c>
      <c r="N451" s="229" t="s">
        <v>501</v>
      </c>
      <c r="O451" s="230">
        <v>0</v>
      </c>
      <c r="P451" s="230">
        <v>0</v>
      </c>
      <c r="Q451" s="230">
        <v>0</v>
      </c>
      <c r="R451" s="230">
        <v>0</v>
      </c>
      <c r="S451" s="231">
        <f>NETWORKDAYS.INTL(DATE(2018,1,1),DATE(2018,12,31),1,{"2018/1/1";"2018/3/30";"2018/4/2";"2018/5/1";"2018/5/8";"2018/7/5";"2018/7/6";"2018/09/28";"2018/11/17";"2018/12/24";"2018/12/25";"2018/12/26"})</f>
        <v>250</v>
      </c>
      <c r="T451" s="231">
        <f t="shared" si="34"/>
        <v>115</v>
      </c>
      <c r="U451" s="231">
        <f t="shared" si="35"/>
        <v>365</v>
      </c>
      <c r="V451" s="312">
        <f t="shared" si="36"/>
        <v>0</v>
      </c>
      <c r="W451" s="233">
        <f t="shared" si="37"/>
        <v>0</v>
      </c>
      <c r="X451" s="234">
        <f t="shared" si="38"/>
        <v>0</v>
      </c>
      <c r="Y451" s="141">
        <v>0</v>
      </c>
    </row>
    <row r="452" spans="1:25" ht="15" x14ac:dyDescent="0.2">
      <c r="A452" s="235" t="s">
        <v>1259</v>
      </c>
      <c r="B452" s="236" t="s">
        <v>328</v>
      </c>
      <c r="C452" s="236" t="s">
        <v>189</v>
      </c>
      <c r="D452" s="535" t="str">
        <f>VLOOKUP(C452,'Seznam HS - nemaš'!$A$1:$B$96,2,FALSE)</f>
        <v>430200</v>
      </c>
      <c r="E452" s="237" t="s">
        <v>1262</v>
      </c>
      <c r="F452" s="303" t="s">
        <v>389</v>
      </c>
      <c r="G452" s="303" t="s">
        <v>980</v>
      </c>
      <c r="H452" s="224">
        <f>+IF(ISBLANK(I452),0,VLOOKUP(I452,'8Příloha_2_ceník_pravid_úklid'!$B$9:$C$30,2,0))</f>
        <v>17</v>
      </c>
      <c r="I452" s="273" t="s">
        <v>13</v>
      </c>
      <c r="J452" s="241">
        <v>6.84</v>
      </c>
      <c r="K452" s="240" t="s">
        <v>51</v>
      </c>
      <c r="L452" s="392" t="s">
        <v>647</v>
      </c>
      <c r="M452" s="237" t="s">
        <v>49</v>
      </c>
      <c r="N452" s="229" t="s">
        <v>501</v>
      </c>
      <c r="O452" s="230">
        <v>0</v>
      </c>
      <c r="P452" s="230">
        <v>0</v>
      </c>
      <c r="Q452" s="230">
        <v>0</v>
      </c>
      <c r="R452" s="230">
        <v>0</v>
      </c>
      <c r="S452" s="231">
        <f>NETWORKDAYS.INTL(DATE(2018,1,1),DATE(2018,12,31),1,{"2018/1/1";"2018/3/30";"2018/4/2";"2018/5/1";"2018/5/8";"2018/7/5";"2018/7/6";"2018/09/28";"2018/11/17";"2018/12/24";"2018/12/25";"2018/12/26"})</f>
        <v>250</v>
      </c>
      <c r="T452" s="231">
        <f t="shared" si="34"/>
        <v>115</v>
      </c>
      <c r="U452" s="231">
        <f t="shared" si="35"/>
        <v>365</v>
      </c>
      <c r="V452" s="312">
        <f t="shared" si="36"/>
        <v>0</v>
      </c>
      <c r="W452" s="233">
        <f t="shared" si="37"/>
        <v>0</v>
      </c>
      <c r="X452" s="234">
        <f t="shared" si="38"/>
        <v>0</v>
      </c>
      <c r="Y452" s="141">
        <v>0</v>
      </c>
    </row>
    <row r="453" spans="1:25" ht="15" x14ac:dyDescent="0.2">
      <c r="A453" s="235" t="s">
        <v>1259</v>
      </c>
      <c r="B453" s="236" t="s">
        <v>328</v>
      </c>
      <c r="C453" s="236" t="s">
        <v>189</v>
      </c>
      <c r="D453" s="535" t="str">
        <f>VLOOKUP(C453,'Seznam HS - nemaš'!$A$1:$B$96,2,FALSE)</f>
        <v>430200</v>
      </c>
      <c r="E453" s="237" t="s">
        <v>1263</v>
      </c>
      <c r="F453" s="303" t="s">
        <v>561</v>
      </c>
      <c r="G453" s="303" t="s">
        <v>555</v>
      </c>
      <c r="H453" s="224">
        <f>+IF(ISBLANK(I453),0,VLOOKUP(I453,'8Příloha_2_ceník_pravid_úklid'!$B$9:$C$30,2,0))</f>
        <v>7</v>
      </c>
      <c r="I453" s="273" t="s">
        <v>14</v>
      </c>
      <c r="J453" s="241">
        <v>6.71</v>
      </c>
      <c r="K453" s="240" t="s">
        <v>50</v>
      </c>
      <c r="L453" s="392" t="s">
        <v>22</v>
      </c>
      <c r="M453" s="237" t="s">
        <v>49</v>
      </c>
      <c r="N453" s="229" t="s">
        <v>501</v>
      </c>
      <c r="O453" s="230">
        <v>0</v>
      </c>
      <c r="P453" s="230">
        <v>0</v>
      </c>
      <c r="Q453" s="230">
        <v>0</v>
      </c>
      <c r="R453" s="230">
        <v>0</v>
      </c>
      <c r="S453" s="231">
        <f>NETWORKDAYS.INTL(DATE(2018,1,1),DATE(2018,12,31),1,{"2018/1/1";"2018/3/30";"2018/4/2";"2018/5/1";"2018/5/8";"2018/7/5";"2018/7/6";"2018/09/28";"2018/11/17";"2018/12/24";"2018/12/25";"2018/12/26"})</f>
        <v>250</v>
      </c>
      <c r="T453" s="231">
        <f t="shared" si="34"/>
        <v>115</v>
      </c>
      <c r="U453" s="231">
        <f t="shared" si="35"/>
        <v>365</v>
      </c>
      <c r="V453" s="312">
        <f t="shared" si="36"/>
        <v>0</v>
      </c>
      <c r="W453" s="233">
        <f t="shared" si="37"/>
        <v>0</v>
      </c>
      <c r="X453" s="234">
        <f t="shared" si="38"/>
        <v>0</v>
      </c>
      <c r="Y453" s="141">
        <v>0</v>
      </c>
    </row>
    <row r="454" spans="1:25" ht="15" x14ac:dyDescent="0.2">
      <c r="A454" s="235" t="s">
        <v>1259</v>
      </c>
      <c r="B454" s="236" t="s">
        <v>328</v>
      </c>
      <c r="C454" s="236" t="s">
        <v>189</v>
      </c>
      <c r="D454" s="535" t="str">
        <f>VLOOKUP(C454,'Seznam HS - nemaš'!$A$1:$B$96,2,FALSE)</f>
        <v>430200</v>
      </c>
      <c r="E454" s="237" t="s">
        <v>1264</v>
      </c>
      <c r="F454" s="303" t="s">
        <v>552</v>
      </c>
      <c r="G454" s="303"/>
      <c r="H454" s="224">
        <f>+IF(ISBLANK(I454),0,VLOOKUP(I454,'8Příloha_2_ceník_pravid_úklid'!$B$9:$C$30,2,0))</f>
        <v>16</v>
      </c>
      <c r="I454" s="273" t="s">
        <v>6</v>
      </c>
      <c r="J454" s="241">
        <v>5.3</v>
      </c>
      <c r="K454" s="240" t="s">
        <v>51</v>
      </c>
      <c r="L454" s="392" t="s">
        <v>22</v>
      </c>
      <c r="M454" s="237" t="s">
        <v>49</v>
      </c>
      <c r="N454" s="229" t="s">
        <v>501</v>
      </c>
      <c r="O454" s="230">
        <v>0</v>
      </c>
      <c r="P454" s="230">
        <v>0</v>
      </c>
      <c r="Q454" s="230">
        <v>0</v>
      </c>
      <c r="R454" s="230">
        <v>0</v>
      </c>
      <c r="S454" s="231">
        <f>NETWORKDAYS.INTL(DATE(2018,1,1),DATE(2018,12,31),1,{"2018/1/1";"2018/3/30";"2018/4/2";"2018/5/1";"2018/5/8";"2018/7/5";"2018/7/6";"2018/09/28";"2018/11/17";"2018/12/24";"2018/12/25";"2018/12/26"})</f>
        <v>250</v>
      </c>
      <c r="T454" s="231">
        <f t="shared" ref="T454:T517" si="39">U454-S454</f>
        <v>115</v>
      </c>
      <c r="U454" s="231">
        <f t="shared" ref="U454:U517" si="40">_xlfn.DAYS("1.1.2019","1.1.2018")</f>
        <v>365</v>
      </c>
      <c r="V454" s="312">
        <f t="shared" ref="V454:V517" si="41">ROUND(O454*P454*S454+Q454*R454*T454,2)</f>
        <v>0</v>
      </c>
      <c r="W454" s="233">
        <f t="shared" ref="W454:W517" si="42">ROUND(IF(N454="neoceňuje se",+J454*0*V454,J454*N454*V454),2)</f>
        <v>0</v>
      </c>
      <c r="X454" s="234">
        <f t="shared" ref="X454:Y517" si="43">ROUND(W454*1.21,2)</f>
        <v>0</v>
      </c>
      <c r="Y454" s="141">
        <v>0</v>
      </c>
    </row>
    <row r="455" spans="1:25" ht="15" x14ac:dyDescent="0.2">
      <c r="A455" s="235" t="s">
        <v>1259</v>
      </c>
      <c r="B455" s="236" t="s">
        <v>328</v>
      </c>
      <c r="C455" s="236" t="s">
        <v>189</v>
      </c>
      <c r="D455" s="535" t="str">
        <f>VLOOKUP(C455,'Seznam HS - nemaš'!$A$1:$B$96,2,FALSE)</f>
        <v>430200</v>
      </c>
      <c r="E455" s="237" t="s">
        <v>1265</v>
      </c>
      <c r="F455" s="303" t="s">
        <v>437</v>
      </c>
      <c r="G455" s="303" t="s">
        <v>555</v>
      </c>
      <c r="H455" s="224">
        <f>+IF(ISBLANK(I455),0,VLOOKUP(I455,'8Příloha_2_ceník_pravid_úklid'!$B$9:$C$30,2,0))</f>
        <v>7</v>
      </c>
      <c r="I455" s="273" t="s">
        <v>14</v>
      </c>
      <c r="J455" s="241">
        <v>3.6</v>
      </c>
      <c r="K455" s="240" t="s">
        <v>50</v>
      </c>
      <c r="L455" s="392" t="s">
        <v>22</v>
      </c>
      <c r="M455" s="237" t="s">
        <v>49</v>
      </c>
      <c r="N455" s="229" t="s">
        <v>501</v>
      </c>
      <c r="O455" s="230">
        <v>0</v>
      </c>
      <c r="P455" s="230">
        <v>0</v>
      </c>
      <c r="Q455" s="230">
        <v>0</v>
      </c>
      <c r="R455" s="230">
        <v>0</v>
      </c>
      <c r="S455" s="231">
        <f>NETWORKDAYS.INTL(DATE(2018,1,1),DATE(2018,12,31),1,{"2018/1/1";"2018/3/30";"2018/4/2";"2018/5/1";"2018/5/8";"2018/7/5";"2018/7/6";"2018/09/28";"2018/11/17";"2018/12/24";"2018/12/25";"2018/12/26"})</f>
        <v>250</v>
      </c>
      <c r="T455" s="231">
        <f t="shared" si="39"/>
        <v>115</v>
      </c>
      <c r="U455" s="231">
        <f t="shared" si="40"/>
        <v>365</v>
      </c>
      <c r="V455" s="312">
        <f t="shared" si="41"/>
        <v>0</v>
      </c>
      <c r="W455" s="233">
        <f t="shared" si="42"/>
        <v>0</v>
      </c>
      <c r="X455" s="234">
        <f t="shared" si="43"/>
        <v>0</v>
      </c>
      <c r="Y455" s="141">
        <v>0</v>
      </c>
    </row>
    <row r="456" spans="1:25" ht="15" x14ac:dyDescent="0.2">
      <c r="A456" s="235" t="s">
        <v>1259</v>
      </c>
      <c r="B456" s="236" t="s">
        <v>328</v>
      </c>
      <c r="C456" s="236" t="s">
        <v>189</v>
      </c>
      <c r="D456" s="535" t="str">
        <f>VLOOKUP(C456,'Seznam HS - nemaš'!$A$1:$B$96,2,FALSE)</f>
        <v>430200</v>
      </c>
      <c r="E456" s="237" t="s">
        <v>1266</v>
      </c>
      <c r="F456" s="303" t="s">
        <v>565</v>
      </c>
      <c r="G456" s="303" t="s">
        <v>558</v>
      </c>
      <c r="H456" s="224">
        <f>+IF(ISBLANK(I456),0,VLOOKUP(I456,'8Příloha_2_ceník_pravid_úklid'!$B$9:$C$30,2,0))</f>
        <v>2</v>
      </c>
      <c r="I456" s="273" t="s">
        <v>2</v>
      </c>
      <c r="J456" s="241">
        <v>6.59</v>
      </c>
      <c r="K456" s="240" t="s">
        <v>51</v>
      </c>
      <c r="L456" s="392" t="s">
        <v>559</v>
      </c>
      <c r="M456" s="237" t="s">
        <v>49</v>
      </c>
      <c r="N456" s="229" t="s">
        <v>501</v>
      </c>
      <c r="O456" s="230">
        <v>0</v>
      </c>
      <c r="P456" s="230">
        <v>0</v>
      </c>
      <c r="Q456" s="230">
        <v>0</v>
      </c>
      <c r="R456" s="230">
        <v>0</v>
      </c>
      <c r="S456" s="231">
        <f>NETWORKDAYS.INTL(DATE(2018,1,1),DATE(2018,12,31),1,{"2018/1/1";"2018/3/30";"2018/4/2";"2018/5/1";"2018/5/8";"2018/7/5";"2018/7/6";"2018/09/28";"2018/11/17";"2018/12/24";"2018/12/25";"2018/12/26"})</f>
        <v>250</v>
      </c>
      <c r="T456" s="231">
        <f t="shared" si="39"/>
        <v>115</v>
      </c>
      <c r="U456" s="231">
        <f t="shared" si="40"/>
        <v>365</v>
      </c>
      <c r="V456" s="312">
        <f t="shared" si="41"/>
        <v>0</v>
      </c>
      <c r="W456" s="233">
        <f t="shared" si="42"/>
        <v>0</v>
      </c>
      <c r="X456" s="234">
        <f t="shared" si="43"/>
        <v>0</v>
      </c>
      <c r="Y456" s="141">
        <v>0</v>
      </c>
    </row>
    <row r="457" spans="1:25" ht="15" x14ac:dyDescent="0.2">
      <c r="A457" s="235" t="s">
        <v>1259</v>
      </c>
      <c r="B457" s="236" t="s">
        <v>328</v>
      </c>
      <c r="C457" s="236" t="s">
        <v>189</v>
      </c>
      <c r="D457" s="535" t="str">
        <f>VLOOKUP(C457,'Seznam HS - nemaš'!$A$1:$B$96,2,FALSE)</f>
        <v>430200</v>
      </c>
      <c r="E457" s="237" t="s">
        <v>1267</v>
      </c>
      <c r="F457" s="303" t="s">
        <v>389</v>
      </c>
      <c r="G457" s="303" t="s">
        <v>1268</v>
      </c>
      <c r="H457" s="224">
        <f>+IF(ISBLANK(I457),0,VLOOKUP(I457,'8Příloha_2_ceník_pravid_úklid'!$B$9:$C$30,2,0))</f>
        <v>17</v>
      </c>
      <c r="I457" s="273" t="s">
        <v>13</v>
      </c>
      <c r="J457" s="241">
        <v>4.4000000000000004</v>
      </c>
      <c r="K457" s="240" t="s">
        <v>51</v>
      </c>
      <c r="L457" s="392" t="s">
        <v>647</v>
      </c>
      <c r="M457" s="237" t="s">
        <v>49</v>
      </c>
      <c r="N457" s="229" t="s">
        <v>501</v>
      </c>
      <c r="O457" s="230">
        <v>0</v>
      </c>
      <c r="P457" s="230">
        <v>0</v>
      </c>
      <c r="Q457" s="230">
        <v>0</v>
      </c>
      <c r="R457" s="230">
        <v>0</v>
      </c>
      <c r="S457" s="231">
        <f>NETWORKDAYS.INTL(DATE(2018,1,1),DATE(2018,12,31),1,{"2018/1/1";"2018/3/30";"2018/4/2";"2018/5/1";"2018/5/8";"2018/7/5";"2018/7/6";"2018/09/28";"2018/11/17";"2018/12/24";"2018/12/25";"2018/12/26"})</f>
        <v>250</v>
      </c>
      <c r="T457" s="231">
        <f t="shared" si="39"/>
        <v>115</v>
      </c>
      <c r="U457" s="231">
        <f t="shared" si="40"/>
        <v>365</v>
      </c>
      <c r="V457" s="312">
        <f t="shared" si="41"/>
        <v>0</v>
      </c>
      <c r="W457" s="233">
        <f t="shared" si="42"/>
        <v>0</v>
      </c>
      <c r="X457" s="234">
        <f t="shared" si="43"/>
        <v>0</v>
      </c>
      <c r="Y457" s="141">
        <v>0</v>
      </c>
    </row>
    <row r="458" spans="1:25" ht="15" x14ac:dyDescent="0.2">
      <c r="A458" s="235" t="s">
        <v>1259</v>
      </c>
      <c r="B458" s="236" t="s">
        <v>328</v>
      </c>
      <c r="C458" s="236" t="s">
        <v>189</v>
      </c>
      <c r="D458" s="535" t="str">
        <f>VLOOKUP(C458,'Seznam HS - nemaš'!$A$1:$B$96,2,FALSE)</f>
        <v>430200</v>
      </c>
      <c r="E458" s="237" t="s">
        <v>1269</v>
      </c>
      <c r="F458" s="303" t="s">
        <v>567</v>
      </c>
      <c r="G458" s="303" t="s">
        <v>1270</v>
      </c>
      <c r="H458" s="224">
        <f>+IF(ISBLANK(I458),0,VLOOKUP(I458,'8Příloha_2_ceník_pravid_úklid'!$B$9:$C$30,2,0))</f>
        <v>2</v>
      </c>
      <c r="I458" s="273" t="s">
        <v>2</v>
      </c>
      <c r="J458" s="241">
        <v>11</v>
      </c>
      <c r="K458" s="240" t="s">
        <v>51</v>
      </c>
      <c r="L458" s="392" t="s">
        <v>647</v>
      </c>
      <c r="M458" s="237" t="s">
        <v>49</v>
      </c>
      <c r="N458" s="229" t="s">
        <v>501</v>
      </c>
      <c r="O458" s="230">
        <v>0</v>
      </c>
      <c r="P458" s="230">
        <v>0</v>
      </c>
      <c r="Q458" s="230">
        <v>0</v>
      </c>
      <c r="R458" s="230">
        <v>0</v>
      </c>
      <c r="S458" s="231">
        <f>NETWORKDAYS.INTL(DATE(2018,1,1),DATE(2018,12,31),1,{"2018/1/1";"2018/3/30";"2018/4/2";"2018/5/1";"2018/5/8";"2018/7/5";"2018/7/6";"2018/09/28";"2018/11/17";"2018/12/24";"2018/12/25";"2018/12/26"})</f>
        <v>250</v>
      </c>
      <c r="T458" s="231">
        <f t="shared" si="39"/>
        <v>115</v>
      </c>
      <c r="U458" s="231">
        <f t="shared" si="40"/>
        <v>365</v>
      </c>
      <c r="V458" s="312">
        <f t="shared" si="41"/>
        <v>0</v>
      </c>
      <c r="W458" s="233">
        <f t="shared" si="42"/>
        <v>0</v>
      </c>
      <c r="X458" s="234">
        <f t="shared" si="43"/>
        <v>0</v>
      </c>
      <c r="Y458" s="141">
        <v>0</v>
      </c>
    </row>
    <row r="459" spans="1:25" ht="15" x14ac:dyDescent="0.2">
      <c r="A459" s="235" t="s">
        <v>1259</v>
      </c>
      <c r="B459" s="236" t="s">
        <v>328</v>
      </c>
      <c r="C459" s="236" t="s">
        <v>189</v>
      </c>
      <c r="D459" s="535" t="str">
        <f>VLOOKUP(C459,'Seznam HS - nemaš'!$A$1:$B$96,2,FALSE)</f>
        <v>430200</v>
      </c>
      <c r="E459" s="237" t="s">
        <v>1271</v>
      </c>
      <c r="F459" s="303" t="s">
        <v>567</v>
      </c>
      <c r="G459" s="303" t="s">
        <v>1272</v>
      </c>
      <c r="H459" s="224">
        <f>+IF(ISBLANK(I459),0,VLOOKUP(I459,'8Příloha_2_ceník_pravid_úklid'!$B$9:$C$30,2,0))</f>
        <v>12</v>
      </c>
      <c r="I459" s="273" t="s">
        <v>4</v>
      </c>
      <c r="J459" s="241">
        <v>13.73</v>
      </c>
      <c r="K459" s="240" t="s">
        <v>51</v>
      </c>
      <c r="L459" s="392" t="s">
        <v>559</v>
      </c>
      <c r="M459" s="237" t="s">
        <v>49</v>
      </c>
      <c r="N459" s="229" t="s">
        <v>501</v>
      </c>
      <c r="O459" s="230">
        <v>0</v>
      </c>
      <c r="P459" s="230">
        <v>0</v>
      </c>
      <c r="Q459" s="230">
        <v>0</v>
      </c>
      <c r="R459" s="230">
        <v>0</v>
      </c>
      <c r="S459" s="231">
        <f>NETWORKDAYS.INTL(DATE(2018,1,1),DATE(2018,12,31),1,{"2018/1/1";"2018/3/30";"2018/4/2";"2018/5/1";"2018/5/8";"2018/7/5";"2018/7/6";"2018/09/28";"2018/11/17";"2018/12/24";"2018/12/25";"2018/12/26"})</f>
        <v>250</v>
      </c>
      <c r="T459" s="231">
        <f t="shared" si="39"/>
        <v>115</v>
      </c>
      <c r="U459" s="231">
        <f t="shared" si="40"/>
        <v>365</v>
      </c>
      <c r="V459" s="312">
        <f t="shared" si="41"/>
        <v>0</v>
      </c>
      <c r="W459" s="233">
        <f t="shared" si="42"/>
        <v>0</v>
      </c>
      <c r="X459" s="234">
        <f t="shared" si="43"/>
        <v>0</v>
      </c>
      <c r="Y459" s="141">
        <v>0</v>
      </c>
    </row>
    <row r="460" spans="1:25" ht="15" x14ac:dyDescent="0.2">
      <c r="A460" s="235" t="s">
        <v>1259</v>
      </c>
      <c r="B460" s="236" t="s">
        <v>328</v>
      </c>
      <c r="C460" s="236" t="s">
        <v>189</v>
      </c>
      <c r="D460" s="535" t="str">
        <f>VLOOKUP(C460,'Seznam HS - nemaš'!$A$1:$B$96,2,FALSE)</f>
        <v>430200</v>
      </c>
      <c r="E460" s="237" t="s">
        <v>1273</v>
      </c>
      <c r="F460" s="303" t="s">
        <v>567</v>
      </c>
      <c r="G460" s="303" t="s">
        <v>1274</v>
      </c>
      <c r="H460" s="224">
        <f>+IF(ISBLANK(I460),0,VLOOKUP(I460,'8Příloha_2_ceník_pravid_úklid'!$B$9:$C$30,2,0))</f>
        <v>12</v>
      </c>
      <c r="I460" s="273" t="s">
        <v>4</v>
      </c>
      <c r="J460" s="241">
        <v>30.97</v>
      </c>
      <c r="K460" s="240" t="s">
        <v>51</v>
      </c>
      <c r="L460" s="392" t="s">
        <v>559</v>
      </c>
      <c r="M460" s="237" t="s">
        <v>49</v>
      </c>
      <c r="N460" s="229" t="s">
        <v>501</v>
      </c>
      <c r="O460" s="230">
        <v>0</v>
      </c>
      <c r="P460" s="230">
        <v>0</v>
      </c>
      <c r="Q460" s="230">
        <v>0</v>
      </c>
      <c r="R460" s="230">
        <v>0</v>
      </c>
      <c r="S460" s="231">
        <f>NETWORKDAYS.INTL(DATE(2018,1,1),DATE(2018,12,31),1,{"2018/1/1";"2018/3/30";"2018/4/2";"2018/5/1";"2018/5/8";"2018/7/5";"2018/7/6";"2018/09/28";"2018/11/17";"2018/12/24";"2018/12/25";"2018/12/26"})</f>
        <v>250</v>
      </c>
      <c r="T460" s="231">
        <f t="shared" si="39"/>
        <v>115</v>
      </c>
      <c r="U460" s="231">
        <f t="shared" si="40"/>
        <v>365</v>
      </c>
      <c r="V460" s="312">
        <f t="shared" si="41"/>
        <v>0</v>
      </c>
      <c r="W460" s="233">
        <f t="shared" si="42"/>
        <v>0</v>
      </c>
      <c r="X460" s="234">
        <f t="shared" si="43"/>
        <v>0</v>
      </c>
      <c r="Y460" s="141">
        <v>0</v>
      </c>
    </row>
    <row r="461" spans="1:25" ht="15" x14ac:dyDescent="0.2">
      <c r="A461" s="235" t="s">
        <v>1259</v>
      </c>
      <c r="B461" s="236" t="s">
        <v>328</v>
      </c>
      <c r="C461" s="236" t="s">
        <v>189</v>
      </c>
      <c r="D461" s="535" t="str">
        <f>VLOOKUP(C461,'Seznam HS - nemaš'!$A$1:$B$96,2,FALSE)</f>
        <v>430200</v>
      </c>
      <c r="E461" s="237" t="s">
        <v>1275</v>
      </c>
      <c r="F461" s="303" t="s">
        <v>567</v>
      </c>
      <c r="G461" s="303" t="s">
        <v>1274</v>
      </c>
      <c r="H461" s="224">
        <f>+IF(ISBLANK(I461),0,VLOOKUP(I461,'8Příloha_2_ceník_pravid_úklid'!$B$9:$C$30,2,0))</f>
        <v>12</v>
      </c>
      <c r="I461" s="273" t="s">
        <v>4</v>
      </c>
      <c r="J461" s="241">
        <v>27.42</v>
      </c>
      <c r="K461" s="240" t="s">
        <v>51</v>
      </c>
      <c r="L461" s="392" t="s">
        <v>559</v>
      </c>
      <c r="M461" s="237" t="s">
        <v>49</v>
      </c>
      <c r="N461" s="229" t="s">
        <v>501</v>
      </c>
      <c r="O461" s="230">
        <v>0</v>
      </c>
      <c r="P461" s="230">
        <v>0</v>
      </c>
      <c r="Q461" s="230">
        <v>0</v>
      </c>
      <c r="R461" s="230">
        <v>0</v>
      </c>
      <c r="S461" s="231">
        <f>NETWORKDAYS.INTL(DATE(2018,1,1),DATE(2018,12,31),1,{"2018/1/1";"2018/3/30";"2018/4/2";"2018/5/1";"2018/5/8";"2018/7/5";"2018/7/6";"2018/09/28";"2018/11/17";"2018/12/24";"2018/12/25";"2018/12/26"})</f>
        <v>250</v>
      </c>
      <c r="T461" s="231">
        <f t="shared" si="39"/>
        <v>115</v>
      </c>
      <c r="U461" s="231">
        <f t="shared" si="40"/>
        <v>365</v>
      </c>
      <c r="V461" s="312">
        <f t="shared" si="41"/>
        <v>0</v>
      </c>
      <c r="W461" s="233">
        <f t="shared" si="42"/>
        <v>0</v>
      </c>
      <c r="X461" s="234">
        <f t="shared" si="43"/>
        <v>0</v>
      </c>
      <c r="Y461" s="141">
        <v>0</v>
      </c>
    </row>
    <row r="462" spans="1:25" ht="15" x14ac:dyDescent="0.2">
      <c r="A462" s="235" t="s">
        <v>1259</v>
      </c>
      <c r="B462" s="236" t="s">
        <v>328</v>
      </c>
      <c r="C462" s="236" t="s">
        <v>189</v>
      </c>
      <c r="D462" s="535" t="str">
        <f>VLOOKUP(C462,'Seznam HS - nemaš'!$A$1:$B$96,2,FALSE)</f>
        <v>430200</v>
      </c>
      <c r="E462" s="237" t="s">
        <v>1276</v>
      </c>
      <c r="F462" s="303" t="s">
        <v>567</v>
      </c>
      <c r="G462" s="303" t="s">
        <v>1272</v>
      </c>
      <c r="H462" s="224">
        <f>+IF(ISBLANK(I462),0,VLOOKUP(I462,'8Příloha_2_ceník_pravid_úklid'!$B$9:$C$30,2,0))</f>
        <v>12</v>
      </c>
      <c r="I462" s="273" t="s">
        <v>4</v>
      </c>
      <c r="J462" s="241">
        <v>17.25</v>
      </c>
      <c r="K462" s="240" t="s">
        <v>51</v>
      </c>
      <c r="L462" s="392" t="s">
        <v>559</v>
      </c>
      <c r="M462" s="237" t="s">
        <v>49</v>
      </c>
      <c r="N462" s="229" t="s">
        <v>501</v>
      </c>
      <c r="O462" s="230">
        <v>0</v>
      </c>
      <c r="P462" s="230">
        <v>0</v>
      </c>
      <c r="Q462" s="230">
        <v>0</v>
      </c>
      <c r="R462" s="230">
        <v>0</v>
      </c>
      <c r="S462" s="231">
        <f>NETWORKDAYS.INTL(DATE(2018,1,1),DATE(2018,12,31),1,{"2018/1/1";"2018/3/30";"2018/4/2";"2018/5/1";"2018/5/8";"2018/7/5";"2018/7/6";"2018/09/28";"2018/11/17";"2018/12/24";"2018/12/25";"2018/12/26"})</f>
        <v>250</v>
      </c>
      <c r="T462" s="231">
        <f t="shared" si="39"/>
        <v>115</v>
      </c>
      <c r="U462" s="231">
        <f t="shared" si="40"/>
        <v>365</v>
      </c>
      <c r="V462" s="312">
        <f t="shared" si="41"/>
        <v>0</v>
      </c>
      <c r="W462" s="233">
        <f t="shared" si="42"/>
        <v>0</v>
      </c>
      <c r="X462" s="234">
        <f t="shared" si="43"/>
        <v>0</v>
      </c>
      <c r="Y462" s="141">
        <v>0</v>
      </c>
    </row>
    <row r="463" spans="1:25" ht="15" x14ac:dyDescent="0.2">
      <c r="A463" s="235" t="s">
        <v>1259</v>
      </c>
      <c r="B463" s="236" t="s">
        <v>328</v>
      </c>
      <c r="C463" s="236" t="s">
        <v>189</v>
      </c>
      <c r="D463" s="535" t="str">
        <f>VLOOKUP(C463,'Seznam HS - nemaš'!$A$1:$B$96,2,FALSE)</f>
        <v>430200</v>
      </c>
      <c r="E463" s="237" t="s">
        <v>1277</v>
      </c>
      <c r="F463" s="303" t="s">
        <v>437</v>
      </c>
      <c r="G463" s="303" t="s">
        <v>442</v>
      </c>
      <c r="H463" s="224">
        <f>+IF(ISBLANK(I463),0,VLOOKUP(I463,'8Příloha_2_ceník_pravid_úklid'!$B$9:$C$30,2,0))</f>
        <v>7</v>
      </c>
      <c r="I463" s="273" t="s">
        <v>14</v>
      </c>
      <c r="J463" s="241">
        <v>1.4</v>
      </c>
      <c r="K463" s="240" t="s">
        <v>50</v>
      </c>
      <c r="L463" s="392" t="s">
        <v>22</v>
      </c>
      <c r="M463" s="237" t="s">
        <v>49</v>
      </c>
      <c r="N463" s="229" t="s">
        <v>501</v>
      </c>
      <c r="O463" s="230">
        <v>0</v>
      </c>
      <c r="P463" s="230">
        <v>0</v>
      </c>
      <c r="Q463" s="230">
        <v>0</v>
      </c>
      <c r="R463" s="230">
        <v>0</v>
      </c>
      <c r="S463" s="231">
        <f>NETWORKDAYS.INTL(DATE(2018,1,1),DATE(2018,12,31),1,{"2018/1/1";"2018/3/30";"2018/4/2";"2018/5/1";"2018/5/8";"2018/7/5";"2018/7/6";"2018/09/28";"2018/11/17";"2018/12/24";"2018/12/25";"2018/12/26"})</f>
        <v>250</v>
      </c>
      <c r="T463" s="231">
        <f t="shared" si="39"/>
        <v>115</v>
      </c>
      <c r="U463" s="231">
        <f t="shared" si="40"/>
        <v>365</v>
      </c>
      <c r="V463" s="312">
        <f t="shared" si="41"/>
        <v>0</v>
      </c>
      <c r="W463" s="233">
        <f t="shared" si="42"/>
        <v>0</v>
      </c>
      <c r="X463" s="234">
        <f t="shared" si="43"/>
        <v>0</v>
      </c>
      <c r="Y463" s="141">
        <v>0</v>
      </c>
    </row>
    <row r="464" spans="1:25" ht="15" x14ac:dyDescent="0.2">
      <c r="A464" s="235" t="s">
        <v>1259</v>
      </c>
      <c r="B464" s="236" t="s">
        <v>328</v>
      </c>
      <c r="C464" s="236" t="s">
        <v>189</v>
      </c>
      <c r="D464" s="535" t="str">
        <f>VLOOKUP(C464,'Seznam HS - nemaš'!$A$1:$B$96,2,FALSE)</f>
        <v>430200</v>
      </c>
      <c r="E464" s="237" t="s">
        <v>1278</v>
      </c>
      <c r="F464" s="303" t="s">
        <v>420</v>
      </c>
      <c r="G464" s="303" t="s">
        <v>442</v>
      </c>
      <c r="H464" s="224">
        <f>+IF(ISBLANK(I464),0,VLOOKUP(I464,'8Příloha_2_ceník_pravid_úklid'!$B$9:$C$30,2,0))</f>
        <v>7</v>
      </c>
      <c r="I464" s="273" t="s">
        <v>14</v>
      </c>
      <c r="J464" s="241">
        <v>1.25</v>
      </c>
      <c r="K464" s="240" t="s">
        <v>50</v>
      </c>
      <c r="L464" s="392" t="s">
        <v>22</v>
      </c>
      <c r="M464" s="237" t="s">
        <v>49</v>
      </c>
      <c r="N464" s="229" t="s">
        <v>501</v>
      </c>
      <c r="O464" s="230">
        <v>0</v>
      </c>
      <c r="P464" s="230">
        <v>0</v>
      </c>
      <c r="Q464" s="230">
        <v>0</v>
      </c>
      <c r="R464" s="230">
        <v>0</v>
      </c>
      <c r="S464" s="231">
        <f>NETWORKDAYS.INTL(DATE(2018,1,1),DATE(2018,12,31),1,{"2018/1/1";"2018/3/30";"2018/4/2";"2018/5/1";"2018/5/8";"2018/7/5";"2018/7/6";"2018/09/28";"2018/11/17";"2018/12/24";"2018/12/25";"2018/12/26"})</f>
        <v>250</v>
      </c>
      <c r="T464" s="231">
        <f t="shared" si="39"/>
        <v>115</v>
      </c>
      <c r="U464" s="231">
        <f t="shared" si="40"/>
        <v>365</v>
      </c>
      <c r="V464" s="312">
        <f t="shared" si="41"/>
        <v>0</v>
      </c>
      <c r="W464" s="233">
        <f t="shared" si="42"/>
        <v>0</v>
      </c>
      <c r="X464" s="234">
        <f t="shared" si="43"/>
        <v>0</v>
      </c>
      <c r="Y464" s="141">
        <v>0</v>
      </c>
    </row>
    <row r="465" spans="1:25" ht="15" x14ac:dyDescent="0.2">
      <c r="A465" s="235" t="s">
        <v>1259</v>
      </c>
      <c r="B465" s="236" t="s">
        <v>328</v>
      </c>
      <c r="C465" s="236" t="s">
        <v>189</v>
      </c>
      <c r="D465" s="535" t="str">
        <f>VLOOKUP(C465,'Seznam HS - nemaš'!$A$1:$B$96,2,FALSE)</f>
        <v>430200</v>
      </c>
      <c r="E465" s="237" t="s">
        <v>1279</v>
      </c>
      <c r="F465" s="303" t="s">
        <v>734</v>
      </c>
      <c r="G465" s="303" t="s">
        <v>442</v>
      </c>
      <c r="H465" s="224">
        <f>+IF(ISBLANK(I465),0,VLOOKUP(I465,'8Příloha_2_ceník_pravid_úklid'!$B$9:$C$30,2,0))</f>
        <v>7</v>
      </c>
      <c r="I465" s="273" t="s">
        <v>14</v>
      </c>
      <c r="J465" s="241">
        <v>1.4</v>
      </c>
      <c r="K465" s="240" t="s">
        <v>50</v>
      </c>
      <c r="L465" s="392" t="s">
        <v>22</v>
      </c>
      <c r="M465" s="237" t="s">
        <v>49</v>
      </c>
      <c r="N465" s="229" t="s">
        <v>501</v>
      </c>
      <c r="O465" s="230">
        <v>0</v>
      </c>
      <c r="P465" s="230">
        <v>0</v>
      </c>
      <c r="Q465" s="230">
        <v>0</v>
      </c>
      <c r="R465" s="230">
        <v>0</v>
      </c>
      <c r="S465" s="231">
        <f>NETWORKDAYS.INTL(DATE(2018,1,1),DATE(2018,12,31),1,{"2018/1/1";"2018/3/30";"2018/4/2";"2018/5/1";"2018/5/8";"2018/7/5";"2018/7/6";"2018/09/28";"2018/11/17";"2018/12/24";"2018/12/25";"2018/12/26"})</f>
        <v>250</v>
      </c>
      <c r="T465" s="231">
        <f t="shared" si="39"/>
        <v>115</v>
      </c>
      <c r="U465" s="231">
        <f t="shared" si="40"/>
        <v>365</v>
      </c>
      <c r="V465" s="312">
        <f t="shared" si="41"/>
        <v>0</v>
      </c>
      <c r="W465" s="233">
        <f t="shared" si="42"/>
        <v>0</v>
      </c>
      <c r="X465" s="234">
        <f t="shared" si="43"/>
        <v>0</v>
      </c>
      <c r="Y465" s="141">
        <v>0</v>
      </c>
    </row>
    <row r="466" spans="1:25" ht="15" x14ac:dyDescent="0.2">
      <c r="A466" s="235" t="s">
        <v>1259</v>
      </c>
      <c r="B466" s="236" t="s">
        <v>328</v>
      </c>
      <c r="C466" s="236" t="s">
        <v>189</v>
      </c>
      <c r="D466" s="535" t="str">
        <f>VLOOKUP(C466,'Seznam HS - nemaš'!$A$1:$B$96,2,FALSE)</f>
        <v>430200</v>
      </c>
      <c r="E466" s="237" t="s">
        <v>1280</v>
      </c>
      <c r="F466" s="303" t="s">
        <v>329</v>
      </c>
      <c r="G466" s="303" t="s">
        <v>1281</v>
      </c>
      <c r="H466" s="224">
        <f>+IF(ISBLANK(I466),0,VLOOKUP(I466,'8Příloha_2_ceník_pravid_úklid'!$B$9:$C$30,2,0))</f>
        <v>4</v>
      </c>
      <c r="I466" s="273" t="s">
        <v>9</v>
      </c>
      <c r="J466" s="241">
        <v>8.61</v>
      </c>
      <c r="K466" s="240" t="s">
        <v>51</v>
      </c>
      <c r="L466" s="392" t="s">
        <v>647</v>
      </c>
      <c r="M466" s="237" t="s">
        <v>49</v>
      </c>
      <c r="N466" s="229" t="s">
        <v>501</v>
      </c>
      <c r="O466" s="230">
        <v>0</v>
      </c>
      <c r="P466" s="230">
        <v>0</v>
      </c>
      <c r="Q466" s="230">
        <v>0</v>
      </c>
      <c r="R466" s="230">
        <v>0</v>
      </c>
      <c r="S466" s="231">
        <f>NETWORKDAYS.INTL(DATE(2018,1,1),DATE(2018,12,31),1,{"2018/1/1";"2018/3/30";"2018/4/2";"2018/5/1";"2018/5/8";"2018/7/5";"2018/7/6";"2018/09/28";"2018/11/17";"2018/12/24";"2018/12/25";"2018/12/26"})</f>
        <v>250</v>
      </c>
      <c r="T466" s="231">
        <f t="shared" si="39"/>
        <v>115</v>
      </c>
      <c r="U466" s="231">
        <f t="shared" si="40"/>
        <v>365</v>
      </c>
      <c r="V466" s="312">
        <f t="shared" si="41"/>
        <v>0</v>
      </c>
      <c r="W466" s="233">
        <f t="shared" si="42"/>
        <v>0</v>
      </c>
      <c r="X466" s="234">
        <f t="shared" si="43"/>
        <v>0</v>
      </c>
      <c r="Y466" s="141">
        <v>0</v>
      </c>
    </row>
    <row r="467" spans="1:25" ht="15" x14ac:dyDescent="0.2">
      <c r="A467" s="235" t="s">
        <v>1259</v>
      </c>
      <c r="B467" s="236" t="s">
        <v>328</v>
      </c>
      <c r="C467" s="236" t="s">
        <v>189</v>
      </c>
      <c r="D467" s="535" t="str">
        <f>VLOOKUP(C467,'Seznam HS - nemaš'!$A$1:$B$96,2,FALSE)</f>
        <v>430200</v>
      </c>
      <c r="E467" s="237" t="s">
        <v>1282</v>
      </c>
      <c r="F467" s="303" t="s">
        <v>53</v>
      </c>
      <c r="G467" s="303" t="s">
        <v>1283</v>
      </c>
      <c r="H467" s="224">
        <f>+IF(ISBLANK(I467),0,VLOOKUP(I467,'8Příloha_2_ceník_pravid_úklid'!$B$9:$C$30,2,0))</f>
        <v>6</v>
      </c>
      <c r="I467" s="273" t="s">
        <v>1</v>
      </c>
      <c r="J467" s="241">
        <v>4.95</v>
      </c>
      <c r="K467" s="240" t="s">
        <v>51</v>
      </c>
      <c r="L467" s="392" t="s">
        <v>22</v>
      </c>
      <c r="M467" s="237" t="s">
        <v>49</v>
      </c>
      <c r="N467" s="229" t="s">
        <v>501</v>
      </c>
      <c r="O467" s="230">
        <v>0</v>
      </c>
      <c r="P467" s="230">
        <v>0</v>
      </c>
      <c r="Q467" s="230">
        <v>0</v>
      </c>
      <c r="R467" s="230">
        <v>0</v>
      </c>
      <c r="S467" s="231">
        <f>NETWORKDAYS.INTL(DATE(2018,1,1),DATE(2018,12,31),1,{"2018/1/1";"2018/3/30";"2018/4/2";"2018/5/1";"2018/5/8";"2018/7/5";"2018/7/6";"2018/09/28";"2018/11/17";"2018/12/24";"2018/12/25";"2018/12/26"})</f>
        <v>250</v>
      </c>
      <c r="T467" s="231">
        <f t="shared" si="39"/>
        <v>115</v>
      </c>
      <c r="U467" s="231">
        <f t="shared" si="40"/>
        <v>365</v>
      </c>
      <c r="V467" s="312">
        <f t="shared" si="41"/>
        <v>0</v>
      </c>
      <c r="W467" s="233">
        <f t="shared" si="42"/>
        <v>0</v>
      </c>
      <c r="X467" s="234">
        <f t="shared" si="43"/>
        <v>0</v>
      </c>
      <c r="Y467" s="141">
        <v>0</v>
      </c>
    </row>
    <row r="468" spans="1:25" ht="15" x14ac:dyDescent="0.2">
      <c r="A468" s="235" t="s">
        <v>1259</v>
      </c>
      <c r="B468" s="236" t="s">
        <v>328</v>
      </c>
      <c r="C468" s="236" t="s">
        <v>189</v>
      </c>
      <c r="D468" s="535" t="str">
        <f>VLOOKUP(C468,'Seznam HS - nemaš'!$A$1:$B$96,2,FALSE)</f>
        <v>430200</v>
      </c>
      <c r="E468" s="237" t="s">
        <v>1284</v>
      </c>
      <c r="F468" s="303" t="s">
        <v>492</v>
      </c>
      <c r="G468" s="303" t="s">
        <v>615</v>
      </c>
      <c r="H468" s="224">
        <f>+IF(ISBLANK(I468),0,VLOOKUP(I468,'8Příloha_2_ceník_pravid_úklid'!$B$9:$C$30,2,0))</f>
        <v>4</v>
      </c>
      <c r="I468" s="273" t="s">
        <v>9</v>
      </c>
      <c r="J468" s="241">
        <v>9.48</v>
      </c>
      <c r="K468" s="240" t="s">
        <v>51</v>
      </c>
      <c r="L468" s="392" t="s">
        <v>647</v>
      </c>
      <c r="M468" s="237" t="s">
        <v>49</v>
      </c>
      <c r="N468" s="229" t="s">
        <v>501</v>
      </c>
      <c r="O468" s="230">
        <v>0</v>
      </c>
      <c r="P468" s="230">
        <v>0</v>
      </c>
      <c r="Q468" s="230">
        <v>0</v>
      </c>
      <c r="R468" s="230">
        <v>0</v>
      </c>
      <c r="S468" s="231">
        <f>NETWORKDAYS.INTL(DATE(2018,1,1),DATE(2018,12,31),1,{"2018/1/1";"2018/3/30";"2018/4/2";"2018/5/1";"2018/5/8";"2018/7/5";"2018/7/6";"2018/09/28";"2018/11/17";"2018/12/24";"2018/12/25";"2018/12/26"})</f>
        <v>250</v>
      </c>
      <c r="T468" s="231">
        <f t="shared" si="39"/>
        <v>115</v>
      </c>
      <c r="U468" s="231">
        <f t="shared" si="40"/>
        <v>365</v>
      </c>
      <c r="V468" s="312">
        <f t="shared" si="41"/>
        <v>0</v>
      </c>
      <c r="W468" s="233">
        <f t="shared" si="42"/>
        <v>0</v>
      </c>
      <c r="X468" s="234">
        <f t="shared" si="43"/>
        <v>0</v>
      </c>
      <c r="Y468" s="141">
        <v>0</v>
      </c>
    </row>
    <row r="469" spans="1:25" ht="15" x14ac:dyDescent="0.2">
      <c r="A469" s="235" t="s">
        <v>1259</v>
      </c>
      <c r="B469" s="236" t="s">
        <v>328</v>
      </c>
      <c r="C469" s="236" t="s">
        <v>189</v>
      </c>
      <c r="D469" s="535" t="str">
        <f>VLOOKUP(C469,'Seznam HS - nemaš'!$A$1:$B$96,2,FALSE)</f>
        <v>430200</v>
      </c>
      <c r="E469" s="237" t="s">
        <v>1285</v>
      </c>
      <c r="F469" s="303" t="s">
        <v>554</v>
      </c>
      <c r="G469" s="303" t="s">
        <v>446</v>
      </c>
      <c r="H469" s="224">
        <f>+IF(ISBLANK(I469),0,VLOOKUP(I469,'8Příloha_2_ceník_pravid_úklid'!$B$9:$C$30,2,0))</f>
        <v>0</v>
      </c>
      <c r="I469" s="273"/>
      <c r="J469" s="241">
        <v>1.78</v>
      </c>
      <c r="K469" s="240" t="s">
        <v>50</v>
      </c>
      <c r="L469" s="310" t="s">
        <v>66</v>
      </c>
      <c r="M469" s="237" t="s">
        <v>49</v>
      </c>
      <c r="N469" s="229" t="s">
        <v>501</v>
      </c>
      <c r="O469" s="230">
        <v>0</v>
      </c>
      <c r="P469" s="230">
        <v>0</v>
      </c>
      <c r="Q469" s="230">
        <v>0</v>
      </c>
      <c r="R469" s="230">
        <v>0</v>
      </c>
      <c r="S469" s="231">
        <f>NETWORKDAYS.INTL(DATE(2018,1,1),DATE(2018,12,31),1,{"2018/1/1";"2018/3/30";"2018/4/2";"2018/5/1";"2018/5/8";"2018/7/5";"2018/7/6";"2018/09/28";"2018/11/17";"2018/12/24";"2018/12/25";"2018/12/26"})</f>
        <v>250</v>
      </c>
      <c r="T469" s="231">
        <f t="shared" si="39"/>
        <v>115</v>
      </c>
      <c r="U469" s="231">
        <f t="shared" si="40"/>
        <v>365</v>
      </c>
      <c r="V469" s="312">
        <f t="shared" si="41"/>
        <v>0</v>
      </c>
      <c r="W469" s="233">
        <f t="shared" si="42"/>
        <v>0</v>
      </c>
      <c r="X469" s="234">
        <f t="shared" si="43"/>
        <v>0</v>
      </c>
      <c r="Y469" s="141">
        <v>0</v>
      </c>
    </row>
    <row r="470" spans="1:25" ht="15" x14ac:dyDescent="0.2">
      <c r="A470" s="235" t="s">
        <v>1259</v>
      </c>
      <c r="B470" s="236" t="s">
        <v>328</v>
      </c>
      <c r="C470" s="236" t="s">
        <v>189</v>
      </c>
      <c r="D470" s="535" t="str">
        <f>VLOOKUP(C470,'Seznam HS - nemaš'!$A$1:$B$96,2,FALSE)</f>
        <v>430200</v>
      </c>
      <c r="E470" s="237" t="s">
        <v>1286</v>
      </c>
      <c r="F470" s="303" t="s">
        <v>572</v>
      </c>
      <c r="G470" s="303" t="s">
        <v>1287</v>
      </c>
      <c r="H470" s="224">
        <f>+IF(ISBLANK(I470),0,VLOOKUP(I470,'8Příloha_2_ceník_pravid_úklid'!$B$9:$C$30,2,0))</f>
        <v>6</v>
      </c>
      <c r="I470" s="273" t="s">
        <v>1</v>
      </c>
      <c r="J470" s="241">
        <v>7.31</v>
      </c>
      <c r="K470" s="240" t="s">
        <v>51</v>
      </c>
      <c r="L470" s="392" t="s">
        <v>22</v>
      </c>
      <c r="M470" s="237" t="s">
        <v>49</v>
      </c>
      <c r="N470" s="229" t="s">
        <v>501</v>
      </c>
      <c r="O470" s="230">
        <v>0</v>
      </c>
      <c r="P470" s="230">
        <v>0</v>
      </c>
      <c r="Q470" s="230">
        <v>0</v>
      </c>
      <c r="R470" s="230">
        <v>0</v>
      </c>
      <c r="S470" s="231">
        <f>NETWORKDAYS.INTL(DATE(2018,1,1),DATE(2018,12,31),1,{"2018/1/1";"2018/3/30";"2018/4/2";"2018/5/1";"2018/5/8";"2018/7/5";"2018/7/6";"2018/09/28";"2018/11/17";"2018/12/24";"2018/12/25";"2018/12/26"})</f>
        <v>250</v>
      </c>
      <c r="T470" s="231">
        <f t="shared" si="39"/>
        <v>115</v>
      </c>
      <c r="U470" s="231">
        <f t="shared" si="40"/>
        <v>365</v>
      </c>
      <c r="V470" s="312">
        <f t="shared" si="41"/>
        <v>0</v>
      </c>
      <c r="W470" s="233">
        <f t="shared" si="42"/>
        <v>0</v>
      </c>
      <c r="X470" s="234">
        <f t="shared" si="43"/>
        <v>0</v>
      </c>
      <c r="Y470" s="141">
        <v>0</v>
      </c>
    </row>
    <row r="471" spans="1:25" ht="15" x14ac:dyDescent="0.2">
      <c r="A471" s="235" t="s">
        <v>1259</v>
      </c>
      <c r="B471" s="236" t="s">
        <v>328</v>
      </c>
      <c r="C471" s="236" t="s">
        <v>189</v>
      </c>
      <c r="D471" s="535" t="str">
        <f>VLOOKUP(C471,'Seznam HS - nemaš'!$A$1:$B$96,2,FALSE)</f>
        <v>430200</v>
      </c>
      <c r="E471" s="237" t="s">
        <v>1288</v>
      </c>
      <c r="F471" s="303" t="s">
        <v>565</v>
      </c>
      <c r="G471" s="303" t="s">
        <v>633</v>
      </c>
      <c r="H471" s="224">
        <f>+IF(ISBLANK(I471),0,VLOOKUP(I471,'8Příloha_2_ceník_pravid_úklid'!$B$9:$C$30,2,0))</f>
        <v>4</v>
      </c>
      <c r="I471" s="273" t="s">
        <v>9</v>
      </c>
      <c r="J471" s="241">
        <v>8.08</v>
      </c>
      <c r="K471" s="240" t="s">
        <v>51</v>
      </c>
      <c r="L471" s="392" t="s">
        <v>1289</v>
      </c>
      <c r="M471" s="237" t="s">
        <v>49</v>
      </c>
      <c r="N471" s="229" t="s">
        <v>501</v>
      </c>
      <c r="O471" s="230">
        <v>0</v>
      </c>
      <c r="P471" s="230">
        <v>0</v>
      </c>
      <c r="Q471" s="230">
        <v>0</v>
      </c>
      <c r="R471" s="230">
        <v>0</v>
      </c>
      <c r="S471" s="231">
        <f>NETWORKDAYS.INTL(DATE(2018,1,1),DATE(2018,12,31),1,{"2018/1/1";"2018/3/30";"2018/4/2";"2018/5/1";"2018/5/8";"2018/7/5";"2018/7/6";"2018/09/28";"2018/11/17";"2018/12/24";"2018/12/25";"2018/12/26"})</f>
        <v>250</v>
      </c>
      <c r="T471" s="231">
        <f t="shared" si="39"/>
        <v>115</v>
      </c>
      <c r="U471" s="231">
        <f t="shared" si="40"/>
        <v>365</v>
      </c>
      <c r="V471" s="312">
        <f t="shared" si="41"/>
        <v>0</v>
      </c>
      <c r="W471" s="233">
        <f t="shared" si="42"/>
        <v>0</v>
      </c>
      <c r="X471" s="234">
        <f t="shared" si="43"/>
        <v>0</v>
      </c>
      <c r="Y471" s="141">
        <v>0</v>
      </c>
    </row>
    <row r="472" spans="1:25" ht="15" x14ac:dyDescent="0.2">
      <c r="A472" s="235" t="s">
        <v>1259</v>
      </c>
      <c r="B472" s="236" t="s">
        <v>328</v>
      </c>
      <c r="C472" s="236" t="s">
        <v>189</v>
      </c>
      <c r="D472" s="535" t="str">
        <f>VLOOKUP(C472,'Seznam HS - nemaš'!$A$1:$B$96,2,FALSE)</f>
        <v>430200</v>
      </c>
      <c r="E472" s="237" t="s">
        <v>1290</v>
      </c>
      <c r="F472" s="303" t="s">
        <v>389</v>
      </c>
      <c r="G472" s="303" t="s">
        <v>1291</v>
      </c>
      <c r="H472" s="224">
        <f>+IF(ISBLANK(I472),0,VLOOKUP(I472,'8Příloha_2_ceník_pravid_úklid'!$B$9:$C$30,2,0))</f>
        <v>17</v>
      </c>
      <c r="I472" s="273" t="s">
        <v>13</v>
      </c>
      <c r="J472" s="241">
        <v>3.97</v>
      </c>
      <c r="K472" s="240" t="s">
        <v>51</v>
      </c>
      <c r="L472" s="392" t="s">
        <v>647</v>
      </c>
      <c r="M472" s="237" t="s">
        <v>49</v>
      </c>
      <c r="N472" s="229" t="s">
        <v>501</v>
      </c>
      <c r="O472" s="230">
        <v>0</v>
      </c>
      <c r="P472" s="230">
        <v>0</v>
      </c>
      <c r="Q472" s="230">
        <v>0</v>
      </c>
      <c r="R472" s="230">
        <v>0</v>
      </c>
      <c r="S472" s="231">
        <f>NETWORKDAYS.INTL(DATE(2018,1,1),DATE(2018,12,31),1,{"2018/1/1";"2018/3/30";"2018/4/2";"2018/5/1";"2018/5/8";"2018/7/5";"2018/7/6";"2018/09/28";"2018/11/17";"2018/12/24";"2018/12/25";"2018/12/26"})</f>
        <v>250</v>
      </c>
      <c r="T472" s="231">
        <f t="shared" si="39"/>
        <v>115</v>
      </c>
      <c r="U472" s="231">
        <f t="shared" si="40"/>
        <v>365</v>
      </c>
      <c r="V472" s="312">
        <f t="shared" si="41"/>
        <v>0</v>
      </c>
      <c r="W472" s="233">
        <f t="shared" si="42"/>
        <v>0</v>
      </c>
      <c r="X472" s="234">
        <f t="shared" si="43"/>
        <v>0</v>
      </c>
      <c r="Y472" s="141">
        <v>0</v>
      </c>
    </row>
    <row r="473" spans="1:25" ht="15" x14ac:dyDescent="0.2">
      <c r="A473" s="235" t="s">
        <v>1259</v>
      </c>
      <c r="B473" s="236" t="s">
        <v>328</v>
      </c>
      <c r="C473" s="236" t="s">
        <v>189</v>
      </c>
      <c r="D473" s="535" t="str">
        <f>VLOOKUP(C473,'Seznam HS - nemaš'!$A$1:$B$96,2,FALSE)</f>
        <v>430200</v>
      </c>
      <c r="E473" s="237" t="s">
        <v>1292</v>
      </c>
      <c r="F473" s="303" t="s">
        <v>565</v>
      </c>
      <c r="G473" s="303"/>
      <c r="H473" s="224">
        <f>+IF(ISBLANK(I473),0,VLOOKUP(I473,'8Příloha_2_ceník_pravid_úklid'!$B$9:$C$30,2,0))</f>
        <v>2</v>
      </c>
      <c r="I473" s="273" t="s">
        <v>2</v>
      </c>
      <c r="J473" s="241">
        <v>31.6</v>
      </c>
      <c r="K473" s="240" t="s">
        <v>51</v>
      </c>
      <c r="L473" s="392" t="s">
        <v>559</v>
      </c>
      <c r="M473" s="237" t="s">
        <v>49</v>
      </c>
      <c r="N473" s="229" t="s">
        <v>501</v>
      </c>
      <c r="O473" s="230">
        <v>0</v>
      </c>
      <c r="P473" s="230">
        <v>0</v>
      </c>
      <c r="Q473" s="230">
        <v>0</v>
      </c>
      <c r="R473" s="230">
        <v>0</v>
      </c>
      <c r="S473" s="231">
        <f>NETWORKDAYS.INTL(DATE(2018,1,1),DATE(2018,12,31),1,{"2018/1/1";"2018/3/30";"2018/4/2";"2018/5/1";"2018/5/8";"2018/7/5";"2018/7/6";"2018/09/28";"2018/11/17";"2018/12/24";"2018/12/25";"2018/12/26"})</f>
        <v>250</v>
      </c>
      <c r="T473" s="231">
        <f t="shared" si="39"/>
        <v>115</v>
      </c>
      <c r="U473" s="231">
        <f t="shared" si="40"/>
        <v>365</v>
      </c>
      <c r="V473" s="312">
        <f t="shared" si="41"/>
        <v>0</v>
      </c>
      <c r="W473" s="233">
        <f t="shared" si="42"/>
        <v>0</v>
      </c>
      <c r="X473" s="234">
        <f t="shared" si="43"/>
        <v>0</v>
      </c>
      <c r="Y473" s="141">
        <v>0</v>
      </c>
    </row>
    <row r="474" spans="1:25" ht="15" x14ac:dyDescent="0.2">
      <c r="A474" s="235" t="s">
        <v>1259</v>
      </c>
      <c r="B474" s="236" t="s">
        <v>328</v>
      </c>
      <c r="C474" s="236" t="s">
        <v>189</v>
      </c>
      <c r="D474" s="535" t="str">
        <f>VLOOKUP(C474,'Seznam HS - nemaš'!$A$1:$B$96,2,FALSE)</f>
        <v>430200</v>
      </c>
      <c r="E474" s="237" t="s">
        <v>1293</v>
      </c>
      <c r="F474" s="303" t="s">
        <v>53</v>
      </c>
      <c r="G474" s="303"/>
      <c r="H474" s="224">
        <f>+IF(ISBLANK(I474),0,VLOOKUP(I474,'8Příloha_2_ceník_pravid_úklid'!$B$9:$C$30,2,0))</f>
        <v>6</v>
      </c>
      <c r="I474" s="273" t="s">
        <v>1</v>
      </c>
      <c r="J474" s="241">
        <v>23.75</v>
      </c>
      <c r="K474" s="240" t="s">
        <v>51</v>
      </c>
      <c r="L474" s="392" t="s">
        <v>22</v>
      </c>
      <c r="M474" s="237" t="s">
        <v>49</v>
      </c>
      <c r="N474" s="229" t="s">
        <v>501</v>
      </c>
      <c r="O474" s="230">
        <v>0</v>
      </c>
      <c r="P474" s="230">
        <v>0</v>
      </c>
      <c r="Q474" s="230">
        <v>0</v>
      </c>
      <c r="R474" s="230">
        <v>0</v>
      </c>
      <c r="S474" s="231">
        <f>NETWORKDAYS.INTL(DATE(2018,1,1),DATE(2018,12,31),1,{"2018/1/1";"2018/3/30";"2018/4/2";"2018/5/1";"2018/5/8";"2018/7/5";"2018/7/6";"2018/09/28";"2018/11/17";"2018/12/24";"2018/12/25";"2018/12/26"})</f>
        <v>250</v>
      </c>
      <c r="T474" s="231">
        <f t="shared" si="39"/>
        <v>115</v>
      </c>
      <c r="U474" s="231">
        <f t="shared" si="40"/>
        <v>365</v>
      </c>
      <c r="V474" s="312">
        <f t="shared" si="41"/>
        <v>0</v>
      </c>
      <c r="W474" s="233">
        <f t="shared" si="42"/>
        <v>0</v>
      </c>
      <c r="X474" s="234">
        <f t="shared" si="43"/>
        <v>0</v>
      </c>
      <c r="Y474" s="141">
        <v>0</v>
      </c>
    </row>
    <row r="475" spans="1:25" ht="27.75" customHeight="1" x14ac:dyDescent="0.2">
      <c r="A475" s="388" t="s">
        <v>1259</v>
      </c>
      <c r="B475" s="358" t="s">
        <v>328</v>
      </c>
      <c r="C475" s="358" t="s">
        <v>189</v>
      </c>
      <c r="D475" s="543" t="str">
        <f>VLOOKUP(C475,'Seznam HS - nemaš'!$A$1:$B$96,2,FALSE)</f>
        <v>430200</v>
      </c>
      <c r="E475" s="359"/>
      <c r="F475" s="389" t="s">
        <v>1205</v>
      </c>
      <c r="G475" s="360" t="s">
        <v>1294</v>
      </c>
      <c r="H475" s="544">
        <f>+IF(ISBLANK(I475),0,VLOOKUP(I475,'8Příloha_2_ceník_pravid_úklid'!$B$9:$C$30,2,0))</f>
        <v>22</v>
      </c>
      <c r="I475" s="362" t="s">
        <v>15</v>
      </c>
      <c r="J475" s="363">
        <f>1*8</f>
        <v>8</v>
      </c>
      <c r="K475" s="364"/>
      <c r="L475" s="365" t="s">
        <v>21</v>
      </c>
      <c r="M475" s="359"/>
      <c r="N475" s="366">
        <f>IF((VLOOKUP(I475,'8Příloha_2_ceník_pravid_úklid'!$B$9:$I$30,8,0))=0,VLOOKUP(I475,'8Příloha_2_ceník_pravid_úklid'!$B$9:$K$30,10,0),VLOOKUP(I475,'8Příloha_2_ceník_pravid_úklid'!$B$9:$I$30,8,0))</f>
        <v>0</v>
      </c>
      <c r="O475" s="365">
        <v>1</v>
      </c>
      <c r="P475" s="365">
        <v>1</v>
      </c>
      <c r="Q475" s="365">
        <v>0</v>
      </c>
      <c r="R475" s="365">
        <v>0</v>
      </c>
      <c r="S475" s="368">
        <f>NETWORKDAYS.INTL(DATE(2018,1,1),DATE(2018,12,31),1,{"2018/1/1";"2018/3/30";"2018/4/2";"2018/5/1";"2018/5/8";"2018/7/5";"2018/7/6";"2018/09/28";"2018/11/17";"2018/12/24";"2018/12/25";"2018/12/26"})</f>
        <v>250</v>
      </c>
      <c r="T475" s="368">
        <f t="shared" si="39"/>
        <v>115</v>
      </c>
      <c r="U475" s="368">
        <f t="shared" si="40"/>
        <v>365</v>
      </c>
      <c r="V475" s="369">
        <f t="shared" si="41"/>
        <v>250</v>
      </c>
      <c r="W475" s="370">
        <f t="shared" si="42"/>
        <v>0</v>
      </c>
      <c r="X475" s="371">
        <f t="shared" si="43"/>
        <v>0</v>
      </c>
      <c r="Y475" s="573">
        <v>0</v>
      </c>
    </row>
    <row r="476" spans="1:25" ht="27.75" customHeight="1" x14ac:dyDescent="0.2">
      <c r="A476" s="388" t="s">
        <v>1259</v>
      </c>
      <c r="B476" s="358" t="s">
        <v>328</v>
      </c>
      <c r="C476" s="358" t="s">
        <v>189</v>
      </c>
      <c r="D476" s="543" t="str">
        <f>VLOOKUP(C476,'Seznam HS - nemaš'!$A$1:$B$96,2,FALSE)</f>
        <v>430200</v>
      </c>
      <c r="E476" s="359"/>
      <c r="F476" s="389" t="s">
        <v>1295</v>
      </c>
      <c r="G476" s="360" t="s">
        <v>1296</v>
      </c>
      <c r="H476" s="544">
        <f>+IF(ISBLANK(I476),0,VLOOKUP(I476,'8Příloha_2_ceník_pravid_úklid'!$B$9:$C$30,2,0))</f>
        <v>22</v>
      </c>
      <c r="I476" s="362" t="s">
        <v>15</v>
      </c>
      <c r="J476" s="363">
        <f>1*0.5</f>
        <v>0.5</v>
      </c>
      <c r="K476" s="364"/>
      <c r="L476" s="365" t="s">
        <v>21</v>
      </c>
      <c r="M476" s="359"/>
      <c r="N476" s="366">
        <f>IF((VLOOKUP(I476,'8Příloha_2_ceník_pravid_úklid'!$B$9:$I$30,8,0))=0,VLOOKUP(I476,'8Příloha_2_ceník_pravid_úklid'!$B$9:$K$30,10,0),VLOOKUP(I476,'8Příloha_2_ceník_pravid_úklid'!$B$9:$I$30,8,0))</f>
        <v>0</v>
      </c>
      <c r="O476" s="365">
        <v>1</v>
      </c>
      <c r="P476" s="365">
        <v>1</v>
      </c>
      <c r="Q476" s="365">
        <v>0</v>
      </c>
      <c r="R476" s="365">
        <v>0</v>
      </c>
      <c r="S476" s="368">
        <f>NETWORKDAYS.INTL(DATE(2018,1,1),DATE(2018,12,31),1,{"2018/1/1";"2018/3/30";"2018/4/2";"2018/5/1";"2018/5/8";"2018/7/5";"2018/7/6";"2018/09/28";"2018/11/17";"2018/12/24";"2018/12/25";"2018/12/26"})</f>
        <v>250</v>
      </c>
      <c r="T476" s="368">
        <f t="shared" si="39"/>
        <v>115</v>
      </c>
      <c r="U476" s="368">
        <f t="shared" si="40"/>
        <v>365</v>
      </c>
      <c r="V476" s="369">
        <f t="shared" si="41"/>
        <v>250</v>
      </c>
      <c r="W476" s="370">
        <f t="shared" si="42"/>
        <v>0</v>
      </c>
      <c r="X476" s="371">
        <f t="shared" si="43"/>
        <v>0</v>
      </c>
      <c r="Y476" s="573">
        <v>0</v>
      </c>
    </row>
    <row r="477" spans="1:25" ht="27.75" customHeight="1" x14ac:dyDescent="0.2">
      <c r="A477" s="388" t="s">
        <v>1259</v>
      </c>
      <c r="B477" s="358" t="s">
        <v>328</v>
      </c>
      <c r="C477" s="358" t="s">
        <v>189</v>
      </c>
      <c r="D477" s="543" t="str">
        <f>VLOOKUP(C477,'Seznam HS - nemaš'!$A$1:$B$96,2,FALSE)</f>
        <v>430200</v>
      </c>
      <c r="E477" s="359"/>
      <c r="F477" s="389" t="s">
        <v>1205</v>
      </c>
      <c r="G477" s="360" t="s">
        <v>1297</v>
      </c>
      <c r="H477" s="544">
        <f>+IF(ISBLANK(I477),0,VLOOKUP(I477,'8Příloha_2_ceník_pravid_úklid'!$B$9:$C$30,2,0))</f>
        <v>22</v>
      </c>
      <c r="I477" s="362" t="s">
        <v>15</v>
      </c>
      <c r="J477" s="363">
        <f>1*3.5</f>
        <v>3.5</v>
      </c>
      <c r="K477" s="364"/>
      <c r="L477" s="394" t="s">
        <v>1298</v>
      </c>
      <c r="M477" s="359"/>
      <c r="N477" s="366">
        <f>IF((VLOOKUP(I477,'8Příloha_2_ceník_pravid_úklid'!$B$9:$I$30,8,0))=0,VLOOKUP(I477,'8Příloha_2_ceník_pravid_úklid'!$B$9:$K$30,10,0),VLOOKUP(I477,'8Příloha_2_ceník_pravid_úklid'!$B$9:$I$30,8,0))</f>
        <v>0</v>
      </c>
      <c r="O477" s="365">
        <v>0</v>
      </c>
      <c r="P477" s="365">
        <v>0</v>
      </c>
      <c r="Q477" s="365">
        <v>1</v>
      </c>
      <c r="R477" s="365">
        <v>1</v>
      </c>
      <c r="S477" s="368">
        <f>NETWORKDAYS.INTL(DATE(2018,1,1),DATE(2018,12,31),1,{"2018/1/1";"2018/3/30";"2018/4/2";"2018/5/1";"2018/5/8";"2018/7/5";"2018/7/6";"2018/09/28";"2018/11/17";"2018/12/24";"2018/12/25";"2018/12/26"})</f>
        <v>250</v>
      </c>
      <c r="T477" s="368">
        <f t="shared" si="39"/>
        <v>115</v>
      </c>
      <c r="U477" s="368">
        <f t="shared" si="40"/>
        <v>365</v>
      </c>
      <c r="V477" s="369">
        <f t="shared" si="41"/>
        <v>115</v>
      </c>
      <c r="W477" s="370">
        <f t="shared" si="42"/>
        <v>0</v>
      </c>
      <c r="X477" s="371">
        <f t="shared" si="43"/>
        <v>0</v>
      </c>
      <c r="Y477" s="573">
        <v>0</v>
      </c>
    </row>
    <row r="478" spans="1:25" ht="15" x14ac:dyDescent="0.2">
      <c r="A478" s="251" t="s">
        <v>767</v>
      </c>
      <c r="B478" s="252" t="s">
        <v>328</v>
      </c>
      <c r="C478" s="252"/>
      <c r="D478" s="542">
        <f>VLOOKUP(C478,'Seznam HS - nemaš'!$A$1:$B$96,2,FALSE)</f>
        <v>0</v>
      </c>
      <c r="E478" s="253" t="s">
        <v>1299</v>
      </c>
      <c r="F478" s="296" t="s">
        <v>1300</v>
      </c>
      <c r="G478" s="296"/>
      <c r="H478" s="296">
        <f>+IF(ISBLANK(I478),0,VLOOKUP(I478,'8Příloha_2_ceník_pravid_úklid'!$B$9:$C$30,2,0))</f>
        <v>0</v>
      </c>
      <c r="I478" s="256"/>
      <c r="J478" s="255"/>
      <c r="K478" s="258"/>
      <c r="L478" s="259" t="s">
        <v>387</v>
      </c>
      <c r="M478" s="253"/>
      <c r="N478" s="260" t="s">
        <v>501</v>
      </c>
      <c r="O478" s="261">
        <v>0</v>
      </c>
      <c r="P478" s="261">
        <v>0</v>
      </c>
      <c r="Q478" s="261">
        <v>0</v>
      </c>
      <c r="R478" s="261">
        <v>0</v>
      </c>
      <c r="S478" s="262">
        <f>NETWORKDAYS.INTL(DATE(2018,1,1),DATE(2018,12,31),1,{"2018/1/1";"2018/3/30";"2018/4/2";"2018/5/1";"2018/5/8";"2018/7/5";"2018/7/6";"2018/09/28";"2018/11/17";"2018/12/24";"2018/12/25";"2018/12/26"})</f>
        <v>250</v>
      </c>
      <c r="T478" s="262">
        <f t="shared" si="39"/>
        <v>115</v>
      </c>
      <c r="U478" s="262">
        <f t="shared" si="40"/>
        <v>365</v>
      </c>
      <c r="V478" s="376">
        <f t="shared" si="41"/>
        <v>0</v>
      </c>
      <c r="W478" s="264">
        <f t="shared" si="42"/>
        <v>0</v>
      </c>
      <c r="X478" s="265">
        <f t="shared" si="43"/>
        <v>0</v>
      </c>
      <c r="Y478" s="265">
        <f t="shared" si="43"/>
        <v>0</v>
      </c>
    </row>
    <row r="479" spans="1:25" ht="15" x14ac:dyDescent="0.2">
      <c r="A479" s="338" t="s">
        <v>767</v>
      </c>
      <c r="B479" s="32" t="s">
        <v>611</v>
      </c>
      <c r="C479" s="32"/>
      <c r="D479" s="139">
        <f>VLOOKUP(C479,'Seznam HS - nemaš'!$A$1:$B$96,2,FALSE)</f>
        <v>0</v>
      </c>
      <c r="E479" s="29" t="s">
        <v>1301</v>
      </c>
      <c r="F479" s="28" t="s">
        <v>336</v>
      </c>
      <c r="G479" s="28" t="s">
        <v>337</v>
      </c>
      <c r="H479" s="28">
        <f>+IF(ISBLANK(I479),0,VLOOKUP(I479,'8Příloha_2_ceník_pravid_úklid'!$B$9:$C$30,2,0))</f>
        <v>8</v>
      </c>
      <c r="I479" s="149" t="s">
        <v>11</v>
      </c>
      <c r="J479" s="284">
        <v>22.45</v>
      </c>
      <c r="K479" s="285" t="s">
        <v>64</v>
      </c>
      <c r="L479" s="395" t="s">
        <v>956</v>
      </c>
      <c r="M479" s="29" t="s">
        <v>49</v>
      </c>
      <c r="N479" s="24">
        <f>IF((VLOOKUP(I479,'8Příloha_2_ceník_pravid_úklid'!$B$9:$I$30,8,0))=0,VLOOKUP(I479,'8Příloha_2_ceník_pravid_úklid'!$B$9:$K$30,10,0),VLOOKUP(I479,'8Příloha_2_ceník_pravid_úklid'!$B$9:$I$30,8,0))</f>
        <v>0</v>
      </c>
      <c r="O479" s="25">
        <v>2</v>
      </c>
      <c r="P479" s="25">
        <v>1</v>
      </c>
      <c r="Q479" s="25">
        <v>1</v>
      </c>
      <c r="R479" s="25">
        <v>1</v>
      </c>
      <c r="S479" s="26">
        <f>NETWORKDAYS.INTL(DATE(2018,1,1),DATE(2018,12,31),1,{"2018/1/1";"2018/3/30";"2018/4/2";"2018/5/1";"2018/5/8";"2018/7/5";"2018/7/6";"2018/09/28";"2018/11/17";"2018/12/24";"2018/12/25";"2018/12/26"})</f>
        <v>250</v>
      </c>
      <c r="T479" s="26">
        <f t="shared" si="39"/>
        <v>115</v>
      </c>
      <c r="U479" s="26">
        <f t="shared" si="40"/>
        <v>365</v>
      </c>
      <c r="V479" s="314">
        <f t="shared" si="41"/>
        <v>615</v>
      </c>
      <c r="W479" s="173">
        <f t="shared" si="42"/>
        <v>0</v>
      </c>
      <c r="X479" s="174">
        <f t="shared" si="43"/>
        <v>0</v>
      </c>
      <c r="Y479" s="141">
        <v>0</v>
      </c>
    </row>
    <row r="480" spans="1:25" ht="15" x14ac:dyDescent="0.2">
      <c r="A480" s="235" t="s">
        <v>1302</v>
      </c>
      <c r="B480" s="396" t="s">
        <v>611</v>
      </c>
      <c r="C480" s="396"/>
      <c r="D480" s="535">
        <f>VLOOKUP(C480,'Seznam HS - nemaš'!$A$1:$B$96,2,FALSE)</f>
        <v>0</v>
      </c>
      <c r="E480" s="229" t="s">
        <v>1303</v>
      </c>
      <c r="F480" s="238" t="s">
        <v>764</v>
      </c>
      <c r="G480" s="238" t="s">
        <v>1304</v>
      </c>
      <c r="H480" s="224">
        <f>+IF(ISBLANK(I480),0,VLOOKUP(I480,'8Příloha_2_ceník_pravid_úklid'!$B$9:$C$30,2,0))</f>
        <v>0</v>
      </c>
      <c r="I480" s="229"/>
      <c r="J480" s="233">
        <v>4.95</v>
      </c>
      <c r="K480" s="229"/>
      <c r="L480" s="242" t="s">
        <v>387</v>
      </c>
      <c r="M480" s="237"/>
      <c r="N480" s="229" t="s">
        <v>501</v>
      </c>
      <c r="O480" s="230">
        <v>0</v>
      </c>
      <c r="P480" s="230">
        <v>0</v>
      </c>
      <c r="Q480" s="230">
        <v>0</v>
      </c>
      <c r="R480" s="230">
        <v>0</v>
      </c>
      <c r="S480" s="231">
        <f>NETWORKDAYS.INTL(DATE(2018,1,1),DATE(2018,12,31),1,{"2018/1/1";"2018/3/30";"2018/4/2";"2018/5/1";"2018/5/8";"2018/7/5";"2018/7/6";"2018/09/28";"2018/11/17";"2018/12/24";"2018/12/25";"2018/12/26"})</f>
        <v>250</v>
      </c>
      <c r="T480" s="231">
        <f t="shared" si="39"/>
        <v>115</v>
      </c>
      <c r="U480" s="231">
        <f t="shared" si="40"/>
        <v>365</v>
      </c>
      <c r="V480" s="312">
        <f t="shared" si="41"/>
        <v>0</v>
      </c>
      <c r="W480" s="233">
        <f t="shared" si="42"/>
        <v>0</v>
      </c>
      <c r="X480" s="234">
        <f t="shared" si="43"/>
        <v>0</v>
      </c>
      <c r="Y480" s="234">
        <f t="shared" si="43"/>
        <v>0</v>
      </c>
    </row>
    <row r="481" spans="1:25" ht="15" x14ac:dyDescent="0.2">
      <c r="A481" s="276" t="s">
        <v>767</v>
      </c>
      <c r="B481" s="391" t="s">
        <v>611</v>
      </c>
      <c r="C481" s="391"/>
      <c r="D481" s="139">
        <f>VLOOKUP(C481,'Seznam HS - nemaš'!$A$1:$B$96,2,FALSE)</f>
        <v>0</v>
      </c>
      <c r="E481" s="19" t="s">
        <v>1305</v>
      </c>
      <c r="F481" s="154" t="s">
        <v>350</v>
      </c>
      <c r="G481" s="154" t="s">
        <v>955</v>
      </c>
      <c r="H481" s="28">
        <f>+IF(ISBLANK(I481),0,VLOOKUP(I481,'8Příloha_2_ceník_pravid_úklid'!$B$9:$C$30,2,0))</f>
        <v>6</v>
      </c>
      <c r="I481" s="19" t="s">
        <v>1</v>
      </c>
      <c r="J481" s="155">
        <v>31.75</v>
      </c>
      <c r="K481" s="19" t="s">
        <v>50</v>
      </c>
      <c r="L481" s="393" t="s">
        <v>956</v>
      </c>
      <c r="M481" s="22" t="s">
        <v>49</v>
      </c>
      <c r="N481" s="24">
        <f>IF((VLOOKUP(I481,'8Příloha_2_ceník_pravid_úklid'!$B$9:$I$30,8,0))=0,VLOOKUP(I481,'8Příloha_2_ceník_pravid_úklid'!$B$9:$K$30,10,0),VLOOKUP(I481,'8Příloha_2_ceník_pravid_úklid'!$B$9:$I$30,8,0))</f>
        <v>0</v>
      </c>
      <c r="O481" s="20">
        <v>2</v>
      </c>
      <c r="P481" s="20">
        <v>1</v>
      </c>
      <c r="Q481" s="20">
        <v>1</v>
      </c>
      <c r="R481" s="20">
        <v>1</v>
      </c>
      <c r="S481" s="21">
        <f>NETWORKDAYS.INTL(DATE(2018,1,1),DATE(2018,12,31),1,{"2018/1/1";"2018/3/30";"2018/4/2";"2018/5/1";"2018/5/8";"2018/7/5";"2018/7/6";"2018/09/28";"2018/11/17";"2018/12/24";"2018/12/25";"2018/12/26"})</f>
        <v>250</v>
      </c>
      <c r="T481" s="21">
        <f t="shared" si="39"/>
        <v>115</v>
      </c>
      <c r="U481" s="21">
        <f t="shared" si="40"/>
        <v>365</v>
      </c>
      <c r="V481" s="311">
        <f t="shared" si="41"/>
        <v>615</v>
      </c>
      <c r="W481" s="140">
        <f t="shared" si="42"/>
        <v>0</v>
      </c>
      <c r="X481" s="141">
        <f t="shared" si="43"/>
        <v>0</v>
      </c>
      <c r="Y481" s="141">
        <v>0</v>
      </c>
    </row>
    <row r="482" spans="1:25" ht="15" x14ac:dyDescent="0.2">
      <c r="A482" s="276" t="s">
        <v>1306</v>
      </c>
      <c r="B482" s="391" t="s">
        <v>611</v>
      </c>
      <c r="C482" s="391" t="s">
        <v>199</v>
      </c>
      <c r="D482" s="139" t="str">
        <f>VLOOKUP(C482,'Seznam HS - nemaš'!$A$1:$B$96,2,FALSE)</f>
        <v>435100</v>
      </c>
      <c r="E482" s="19" t="s">
        <v>1307</v>
      </c>
      <c r="F482" s="154" t="s">
        <v>53</v>
      </c>
      <c r="G482" s="154" t="s">
        <v>1256</v>
      </c>
      <c r="H482" s="28">
        <f>+IF(ISBLANK(I482),0,VLOOKUP(I482,'8Příloha_2_ceník_pravid_úklid'!$B$9:$C$30,2,0))</f>
        <v>6</v>
      </c>
      <c r="I482" s="19" t="s">
        <v>1</v>
      </c>
      <c r="J482" s="155">
        <v>31.43</v>
      </c>
      <c r="K482" s="19" t="s">
        <v>51</v>
      </c>
      <c r="L482" s="146" t="s">
        <v>22</v>
      </c>
      <c r="M482" s="22" t="s">
        <v>49</v>
      </c>
      <c r="N482" s="24">
        <f>IF((VLOOKUP(I482,'8Příloha_2_ceník_pravid_úklid'!$B$9:$I$30,8,0))=0,VLOOKUP(I482,'8Příloha_2_ceník_pravid_úklid'!$B$9:$K$30,10,0),VLOOKUP(I482,'8Příloha_2_ceník_pravid_úklid'!$B$9:$I$30,8,0))</f>
        <v>0</v>
      </c>
      <c r="O482" s="20">
        <v>2</v>
      </c>
      <c r="P482" s="20">
        <v>1</v>
      </c>
      <c r="Q482" s="20">
        <v>2</v>
      </c>
      <c r="R482" s="20">
        <v>1</v>
      </c>
      <c r="S482" s="21">
        <f>NETWORKDAYS.INTL(DATE(2018,1,1),DATE(2018,12,31),1,{"2018/1/1";"2018/3/30";"2018/4/2";"2018/5/1";"2018/5/8";"2018/7/5";"2018/7/6";"2018/09/28";"2018/11/17";"2018/12/24";"2018/12/25";"2018/12/26"})</f>
        <v>250</v>
      </c>
      <c r="T482" s="21">
        <f t="shared" si="39"/>
        <v>115</v>
      </c>
      <c r="U482" s="21">
        <f t="shared" si="40"/>
        <v>365</v>
      </c>
      <c r="V482" s="311">
        <f t="shared" si="41"/>
        <v>730</v>
      </c>
      <c r="W482" s="140">
        <f t="shared" si="42"/>
        <v>0</v>
      </c>
      <c r="X482" s="141">
        <f t="shared" si="43"/>
        <v>0</v>
      </c>
      <c r="Y482" s="141">
        <v>0</v>
      </c>
    </row>
    <row r="483" spans="1:25" ht="15" x14ac:dyDescent="0.2">
      <c r="A483" s="276" t="s">
        <v>1308</v>
      </c>
      <c r="B483" s="391" t="s">
        <v>611</v>
      </c>
      <c r="C483" s="391"/>
      <c r="D483" s="139">
        <f>VLOOKUP(C483,'Seznam HS - nemaš'!$A$1:$B$96,2,FALSE)</f>
        <v>0</v>
      </c>
      <c r="E483" s="19" t="s">
        <v>1309</v>
      </c>
      <c r="F483" s="154" t="s">
        <v>53</v>
      </c>
      <c r="G483" s="154" t="s">
        <v>1310</v>
      </c>
      <c r="H483" s="28">
        <f>+IF(ISBLANK(I483),0,VLOOKUP(I483,'8Příloha_2_ceník_pravid_úklid'!$B$9:$C$30,2,0))</f>
        <v>6</v>
      </c>
      <c r="I483" s="19" t="s">
        <v>1</v>
      </c>
      <c r="J483" s="155">
        <v>13.09</v>
      </c>
      <c r="K483" s="19" t="s">
        <v>51</v>
      </c>
      <c r="L483" s="146" t="s">
        <v>22</v>
      </c>
      <c r="M483" s="22" t="s">
        <v>49</v>
      </c>
      <c r="N483" s="24">
        <f>IF((VLOOKUP(I483,'8Příloha_2_ceník_pravid_úklid'!$B$9:$I$30,8,0))=0,VLOOKUP(I483,'8Příloha_2_ceník_pravid_úklid'!$B$9:$K$30,10,0),VLOOKUP(I483,'8Příloha_2_ceník_pravid_úklid'!$B$9:$I$30,8,0))</f>
        <v>0</v>
      </c>
      <c r="O483" s="20">
        <v>2</v>
      </c>
      <c r="P483" s="20">
        <v>1</v>
      </c>
      <c r="Q483" s="20">
        <v>2</v>
      </c>
      <c r="R483" s="20">
        <v>1</v>
      </c>
      <c r="S483" s="21">
        <f>NETWORKDAYS.INTL(DATE(2018,1,1),DATE(2018,12,31),1,{"2018/1/1";"2018/3/30";"2018/4/2";"2018/5/1";"2018/5/8";"2018/7/5";"2018/7/6";"2018/09/28";"2018/11/17";"2018/12/24";"2018/12/25";"2018/12/26"})</f>
        <v>250</v>
      </c>
      <c r="T483" s="21">
        <f t="shared" si="39"/>
        <v>115</v>
      </c>
      <c r="U483" s="21">
        <f t="shared" si="40"/>
        <v>365</v>
      </c>
      <c r="V483" s="311">
        <f t="shared" si="41"/>
        <v>730</v>
      </c>
      <c r="W483" s="140">
        <f t="shared" si="42"/>
        <v>0</v>
      </c>
      <c r="X483" s="141">
        <f t="shared" si="43"/>
        <v>0</v>
      </c>
      <c r="Y483" s="141">
        <v>0</v>
      </c>
    </row>
    <row r="484" spans="1:25" ht="15" x14ac:dyDescent="0.2">
      <c r="A484" s="276" t="s">
        <v>1308</v>
      </c>
      <c r="B484" s="391" t="s">
        <v>611</v>
      </c>
      <c r="C484" s="391" t="s">
        <v>205</v>
      </c>
      <c r="D484" s="139" t="str">
        <f>VLOOKUP(C484,'Seznam HS - nemaš'!$A$1:$B$96,2,FALSE)</f>
        <v>435402</v>
      </c>
      <c r="E484" s="19" t="s">
        <v>1311</v>
      </c>
      <c r="F484" s="154" t="s">
        <v>1312</v>
      </c>
      <c r="G484" s="154" t="s">
        <v>1313</v>
      </c>
      <c r="H484" s="28">
        <f>+IF(ISBLANK(I484),0,VLOOKUP(I484,'8Příloha_2_ceník_pravid_úklid'!$B$9:$C$30,2,0))</f>
        <v>3</v>
      </c>
      <c r="I484" s="19" t="s">
        <v>3</v>
      </c>
      <c r="J484" s="155">
        <v>11.46</v>
      </c>
      <c r="K484" s="19" t="s">
        <v>51</v>
      </c>
      <c r="L484" s="156" t="s">
        <v>21</v>
      </c>
      <c r="M484" s="22" t="s">
        <v>49</v>
      </c>
      <c r="N484" s="24">
        <f>IF((VLOOKUP(I484,'8Příloha_2_ceník_pravid_úklid'!$B$9:$I$30,8,0))=0,VLOOKUP(I484,'8Příloha_2_ceník_pravid_úklid'!$B$9:$K$30,10,0),VLOOKUP(I484,'8Příloha_2_ceník_pravid_úklid'!$B$9:$I$30,8,0))</f>
        <v>0</v>
      </c>
      <c r="O484" s="20">
        <v>1</v>
      </c>
      <c r="P484" s="20">
        <v>1</v>
      </c>
      <c r="Q484" s="20">
        <v>0</v>
      </c>
      <c r="R484" s="20">
        <v>0</v>
      </c>
      <c r="S484" s="21">
        <f>NETWORKDAYS.INTL(DATE(2018,1,1),DATE(2018,12,31),1,{"2018/1/1";"2018/3/30";"2018/4/2";"2018/5/1";"2018/5/8";"2018/7/5";"2018/7/6";"2018/09/28";"2018/11/17";"2018/12/24";"2018/12/25";"2018/12/26"})</f>
        <v>250</v>
      </c>
      <c r="T484" s="21">
        <f t="shared" si="39"/>
        <v>115</v>
      </c>
      <c r="U484" s="21">
        <f t="shared" si="40"/>
        <v>365</v>
      </c>
      <c r="V484" s="311">
        <f t="shared" si="41"/>
        <v>250</v>
      </c>
      <c r="W484" s="140">
        <f t="shared" si="42"/>
        <v>0</v>
      </c>
      <c r="X484" s="141">
        <f t="shared" si="43"/>
        <v>0</v>
      </c>
      <c r="Y484" s="141">
        <v>0</v>
      </c>
    </row>
    <row r="485" spans="1:25" ht="15" x14ac:dyDescent="0.2">
      <c r="A485" s="276" t="s">
        <v>1308</v>
      </c>
      <c r="B485" s="391" t="s">
        <v>611</v>
      </c>
      <c r="C485" s="391" t="s">
        <v>205</v>
      </c>
      <c r="D485" s="139" t="str">
        <f>VLOOKUP(C485,'Seznam HS - nemaš'!$A$1:$B$96,2,FALSE)</f>
        <v>435402</v>
      </c>
      <c r="E485" s="19" t="s">
        <v>1314</v>
      </c>
      <c r="F485" s="154" t="s">
        <v>1312</v>
      </c>
      <c r="G485" s="154"/>
      <c r="H485" s="28">
        <f>+IF(ISBLANK(I485),0,VLOOKUP(I485,'8Příloha_2_ceník_pravid_úklid'!$B$9:$C$30,2,0))</f>
        <v>3</v>
      </c>
      <c r="I485" s="19" t="s">
        <v>3</v>
      </c>
      <c r="J485" s="155">
        <v>6.62</v>
      </c>
      <c r="K485" s="19" t="s">
        <v>51</v>
      </c>
      <c r="L485" s="156" t="s">
        <v>21</v>
      </c>
      <c r="M485" s="22" t="s">
        <v>49</v>
      </c>
      <c r="N485" s="24">
        <f>IF((VLOOKUP(I485,'8Příloha_2_ceník_pravid_úklid'!$B$9:$I$30,8,0))=0,VLOOKUP(I485,'8Příloha_2_ceník_pravid_úklid'!$B$9:$K$30,10,0),VLOOKUP(I485,'8Příloha_2_ceník_pravid_úklid'!$B$9:$I$30,8,0))</f>
        <v>0</v>
      </c>
      <c r="O485" s="20">
        <v>1</v>
      </c>
      <c r="P485" s="20">
        <v>1</v>
      </c>
      <c r="Q485" s="20">
        <v>0</v>
      </c>
      <c r="R485" s="20">
        <v>0</v>
      </c>
      <c r="S485" s="21">
        <f>NETWORKDAYS.INTL(DATE(2018,1,1),DATE(2018,12,31),1,{"2018/1/1";"2018/3/30";"2018/4/2";"2018/5/1";"2018/5/8";"2018/7/5";"2018/7/6";"2018/09/28";"2018/11/17";"2018/12/24";"2018/12/25";"2018/12/26"})</f>
        <v>250</v>
      </c>
      <c r="T485" s="21">
        <f t="shared" si="39"/>
        <v>115</v>
      </c>
      <c r="U485" s="21">
        <f t="shared" si="40"/>
        <v>365</v>
      </c>
      <c r="V485" s="311">
        <f t="shared" si="41"/>
        <v>250</v>
      </c>
      <c r="W485" s="140">
        <f t="shared" si="42"/>
        <v>0</v>
      </c>
      <c r="X485" s="141">
        <f t="shared" si="43"/>
        <v>0</v>
      </c>
      <c r="Y485" s="141">
        <v>0</v>
      </c>
    </row>
    <row r="486" spans="1:25" ht="15" x14ac:dyDescent="0.2">
      <c r="A486" s="276" t="s">
        <v>1308</v>
      </c>
      <c r="B486" s="391" t="s">
        <v>611</v>
      </c>
      <c r="C486" s="391" t="s">
        <v>205</v>
      </c>
      <c r="D486" s="139" t="str">
        <f>VLOOKUP(C486,'Seznam HS - nemaš'!$A$1:$B$96,2,FALSE)</f>
        <v>435402</v>
      </c>
      <c r="E486" s="19" t="s">
        <v>1315</v>
      </c>
      <c r="F486" s="154" t="s">
        <v>612</v>
      </c>
      <c r="G486" s="154" t="s">
        <v>1316</v>
      </c>
      <c r="H486" s="28">
        <f>+IF(ISBLANK(I486),0,VLOOKUP(I486,'8Příloha_2_ceník_pravid_úklid'!$B$9:$C$30,2,0))</f>
        <v>3</v>
      </c>
      <c r="I486" s="19" t="s">
        <v>3</v>
      </c>
      <c r="J486" s="155">
        <v>14.41</v>
      </c>
      <c r="K486" s="19" t="s">
        <v>51</v>
      </c>
      <c r="L486" s="156" t="s">
        <v>21</v>
      </c>
      <c r="M486" s="22" t="s">
        <v>49</v>
      </c>
      <c r="N486" s="24">
        <f>IF((VLOOKUP(I486,'8Příloha_2_ceník_pravid_úklid'!$B$9:$I$30,8,0))=0,VLOOKUP(I486,'8Příloha_2_ceník_pravid_úklid'!$B$9:$K$30,10,0),VLOOKUP(I486,'8Příloha_2_ceník_pravid_úklid'!$B$9:$I$30,8,0))</f>
        <v>0</v>
      </c>
      <c r="O486" s="20">
        <v>1</v>
      </c>
      <c r="P486" s="20">
        <v>1</v>
      </c>
      <c r="Q486" s="20">
        <v>0</v>
      </c>
      <c r="R486" s="20">
        <v>0</v>
      </c>
      <c r="S486" s="21">
        <f>NETWORKDAYS.INTL(DATE(2018,1,1),DATE(2018,12,31),1,{"2018/1/1";"2018/3/30";"2018/4/2";"2018/5/1";"2018/5/8";"2018/7/5";"2018/7/6";"2018/09/28";"2018/11/17";"2018/12/24";"2018/12/25";"2018/12/26"})</f>
        <v>250</v>
      </c>
      <c r="T486" s="21">
        <f t="shared" si="39"/>
        <v>115</v>
      </c>
      <c r="U486" s="21">
        <f t="shared" si="40"/>
        <v>365</v>
      </c>
      <c r="V486" s="311">
        <f t="shared" si="41"/>
        <v>250</v>
      </c>
      <c r="W486" s="140">
        <f t="shared" si="42"/>
        <v>0</v>
      </c>
      <c r="X486" s="141">
        <f t="shared" si="43"/>
        <v>0</v>
      </c>
      <c r="Y486" s="141">
        <v>0</v>
      </c>
    </row>
    <row r="487" spans="1:25" ht="15" x14ac:dyDescent="0.2">
      <c r="A487" s="276" t="s">
        <v>1308</v>
      </c>
      <c r="B487" s="391" t="s">
        <v>611</v>
      </c>
      <c r="C487" s="391" t="s">
        <v>207</v>
      </c>
      <c r="D487" s="139" t="str">
        <f>VLOOKUP(C487,'Seznam HS - nemaš'!$A$1:$B$96,2,FALSE)</f>
        <v>435403</v>
      </c>
      <c r="E487" s="19" t="s">
        <v>1317</v>
      </c>
      <c r="F487" s="154" t="s">
        <v>1312</v>
      </c>
      <c r="G487" s="154" t="s">
        <v>1318</v>
      </c>
      <c r="H487" s="28">
        <f>+IF(ISBLANK(I487),0,VLOOKUP(I487,'8Příloha_2_ceník_pravid_úklid'!$B$9:$C$30,2,0))</f>
        <v>3</v>
      </c>
      <c r="I487" s="19" t="s">
        <v>3</v>
      </c>
      <c r="J487" s="155">
        <v>10.11</v>
      </c>
      <c r="K487" s="19" t="s">
        <v>51</v>
      </c>
      <c r="L487" s="156" t="s">
        <v>21</v>
      </c>
      <c r="M487" s="22" t="s">
        <v>49</v>
      </c>
      <c r="N487" s="24">
        <f>IF((VLOOKUP(I487,'8Příloha_2_ceník_pravid_úklid'!$B$9:$I$30,8,0))=0,VLOOKUP(I487,'8Příloha_2_ceník_pravid_úklid'!$B$9:$K$30,10,0),VLOOKUP(I487,'8Příloha_2_ceník_pravid_úklid'!$B$9:$I$30,8,0))</f>
        <v>0</v>
      </c>
      <c r="O487" s="20">
        <v>1</v>
      </c>
      <c r="P487" s="20">
        <v>1</v>
      </c>
      <c r="Q487" s="20">
        <v>0</v>
      </c>
      <c r="R487" s="20">
        <v>0</v>
      </c>
      <c r="S487" s="21">
        <f>NETWORKDAYS.INTL(DATE(2018,1,1),DATE(2018,12,31),1,{"2018/1/1";"2018/3/30";"2018/4/2";"2018/5/1";"2018/5/8";"2018/7/5";"2018/7/6";"2018/09/28";"2018/11/17";"2018/12/24";"2018/12/25";"2018/12/26"})</f>
        <v>250</v>
      </c>
      <c r="T487" s="21">
        <f t="shared" si="39"/>
        <v>115</v>
      </c>
      <c r="U487" s="21">
        <f t="shared" si="40"/>
        <v>365</v>
      </c>
      <c r="V487" s="311">
        <f t="shared" si="41"/>
        <v>250</v>
      </c>
      <c r="W487" s="140">
        <f t="shared" si="42"/>
        <v>0</v>
      </c>
      <c r="X487" s="141">
        <f t="shared" si="43"/>
        <v>0</v>
      </c>
      <c r="Y487" s="141">
        <v>0</v>
      </c>
    </row>
    <row r="488" spans="1:25" ht="15" x14ac:dyDescent="0.2">
      <c r="A488" s="276" t="s">
        <v>1308</v>
      </c>
      <c r="B488" s="391" t="s">
        <v>611</v>
      </c>
      <c r="C488" s="391" t="s">
        <v>203</v>
      </c>
      <c r="D488" s="139" t="str">
        <f>VLOOKUP(C488,'Seznam HS - nemaš'!$A$1:$B$96,2,FALSE)</f>
        <v>435401</v>
      </c>
      <c r="E488" s="19" t="s">
        <v>1319</v>
      </c>
      <c r="F488" s="154" t="s">
        <v>1320</v>
      </c>
      <c r="G488" s="154"/>
      <c r="H488" s="28">
        <f>+IF(ISBLANK(I488),0,VLOOKUP(I488,'8Příloha_2_ceník_pravid_úklid'!$B$9:$C$30,2,0))</f>
        <v>3</v>
      </c>
      <c r="I488" s="19" t="s">
        <v>3</v>
      </c>
      <c r="J488" s="155">
        <v>10.68</v>
      </c>
      <c r="K488" s="19" t="s">
        <v>51</v>
      </c>
      <c r="L488" s="156" t="s">
        <v>21</v>
      </c>
      <c r="M488" s="22" t="s">
        <v>49</v>
      </c>
      <c r="N488" s="24">
        <f>IF((VLOOKUP(I488,'8Příloha_2_ceník_pravid_úklid'!$B$9:$I$30,8,0))=0,VLOOKUP(I488,'8Příloha_2_ceník_pravid_úklid'!$B$9:$K$30,10,0),VLOOKUP(I488,'8Příloha_2_ceník_pravid_úklid'!$B$9:$I$30,8,0))</f>
        <v>0</v>
      </c>
      <c r="O488" s="20">
        <v>1</v>
      </c>
      <c r="P488" s="20">
        <v>1</v>
      </c>
      <c r="Q488" s="20">
        <v>0</v>
      </c>
      <c r="R488" s="20">
        <v>0</v>
      </c>
      <c r="S488" s="21">
        <f>NETWORKDAYS.INTL(DATE(2018,1,1),DATE(2018,12,31),1,{"2018/1/1";"2018/3/30";"2018/4/2";"2018/5/1";"2018/5/8";"2018/7/5";"2018/7/6";"2018/09/28";"2018/11/17";"2018/12/24";"2018/12/25";"2018/12/26"})</f>
        <v>250</v>
      </c>
      <c r="T488" s="21">
        <f t="shared" si="39"/>
        <v>115</v>
      </c>
      <c r="U488" s="21">
        <f t="shared" si="40"/>
        <v>365</v>
      </c>
      <c r="V488" s="311">
        <f t="shared" si="41"/>
        <v>250</v>
      </c>
      <c r="W488" s="140">
        <f t="shared" si="42"/>
        <v>0</v>
      </c>
      <c r="X488" s="141">
        <f t="shared" si="43"/>
        <v>0</v>
      </c>
      <c r="Y488" s="141">
        <v>0</v>
      </c>
    </row>
    <row r="489" spans="1:25" ht="15" x14ac:dyDescent="0.2">
      <c r="A489" s="276" t="s">
        <v>1308</v>
      </c>
      <c r="B489" s="391" t="s">
        <v>611</v>
      </c>
      <c r="C489" s="391" t="s">
        <v>203</v>
      </c>
      <c r="D489" s="139" t="str">
        <f>VLOOKUP(C489,'Seznam HS - nemaš'!$A$1:$B$96,2,FALSE)</f>
        <v>435401</v>
      </c>
      <c r="E489" s="19" t="s">
        <v>1321</v>
      </c>
      <c r="F489" s="154" t="s">
        <v>612</v>
      </c>
      <c r="G489" s="154" t="s">
        <v>1322</v>
      </c>
      <c r="H489" s="28">
        <f>+IF(ISBLANK(I489),0,VLOOKUP(I489,'8Příloha_2_ceník_pravid_úklid'!$B$9:$C$30,2,0))</f>
        <v>3</v>
      </c>
      <c r="I489" s="19" t="s">
        <v>3</v>
      </c>
      <c r="J489" s="155">
        <v>12.35</v>
      </c>
      <c r="K489" s="19" t="s">
        <v>51</v>
      </c>
      <c r="L489" s="156" t="s">
        <v>21</v>
      </c>
      <c r="M489" s="22" t="s">
        <v>49</v>
      </c>
      <c r="N489" s="24">
        <f>IF((VLOOKUP(I489,'8Příloha_2_ceník_pravid_úklid'!$B$9:$I$30,8,0))=0,VLOOKUP(I489,'8Příloha_2_ceník_pravid_úklid'!$B$9:$K$30,10,0),VLOOKUP(I489,'8Příloha_2_ceník_pravid_úklid'!$B$9:$I$30,8,0))</f>
        <v>0</v>
      </c>
      <c r="O489" s="20">
        <v>1</v>
      </c>
      <c r="P489" s="20">
        <v>1</v>
      </c>
      <c r="Q489" s="20">
        <v>0</v>
      </c>
      <c r="R489" s="20">
        <v>0</v>
      </c>
      <c r="S489" s="21">
        <f>NETWORKDAYS.INTL(DATE(2018,1,1),DATE(2018,12,31),1,{"2018/1/1";"2018/3/30";"2018/4/2";"2018/5/1";"2018/5/8";"2018/7/5";"2018/7/6";"2018/09/28";"2018/11/17";"2018/12/24";"2018/12/25";"2018/12/26"})</f>
        <v>250</v>
      </c>
      <c r="T489" s="21">
        <f t="shared" si="39"/>
        <v>115</v>
      </c>
      <c r="U489" s="21">
        <f t="shared" si="40"/>
        <v>365</v>
      </c>
      <c r="V489" s="311">
        <f t="shared" si="41"/>
        <v>250</v>
      </c>
      <c r="W489" s="140">
        <f t="shared" si="42"/>
        <v>0</v>
      </c>
      <c r="X489" s="141">
        <f t="shared" si="43"/>
        <v>0</v>
      </c>
      <c r="Y489" s="141">
        <v>0</v>
      </c>
    </row>
    <row r="490" spans="1:25" ht="15" x14ac:dyDescent="0.2">
      <c r="A490" s="276" t="s">
        <v>1308</v>
      </c>
      <c r="B490" s="391" t="s">
        <v>611</v>
      </c>
      <c r="C490" s="391"/>
      <c r="D490" s="139">
        <f>VLOOKUP(C490,'Seznam HS - nemaš'!$A$1:$B$96,2,FALSE)</f>
        <v>0</v>
      </c>
      <c r="E490" s="19" t="s">
        <v>1323</v>
      </c>
      <c r="F490" s="154" t="s">
        <v>383</v>
      </c>
      <c r="G490" s="154"/>
      <c r="H490" s="28">
        <f>+IF(ISBLANK(I490),0,VLOOKUP(I490,'8Příloha_2_ceník_pravid_úklid'!$B$9:$C$30,2,0))</f>
        <v>6</v>
      </c>
      <c r="I490" s="19" t="s">
        <v>1</v>
      </c>
      <c r="J490" s="155">
        <v>65.75</v>
      </c>
      <c r="K490" s="19" t="s">
        <v>51</v>
      </c>
      <c r="L490" s="146" t="s">
        <v>22</v>
      </c>
      <c r="M490" s="22" t="s">
        <v>49</v>
      </c>
      <c r="N490" s="24">
        <f>IF((VLOOKUP(I490,'8Příloha_2_ceník_pravid_úklid'!$B$9:$I$30,8,0))=0,VLOOKUP(I490,'8Příloha_2_ceník_pravid_úklid'!$B$9:$K$30,10,0),VLOOKUP(I490,'8Příloha_2_ceník_pravid_úklid'!$B$9:$I$30,8,0))</f>
        <v>0</v>
      </c>
      <c r="O490" s="20">
        <v>2</v>
      </c>
      <c r="P490" s="20">
        <v>1</v>
      </c>
      <c r="Q490" s="20">
        <v>2</v>
      </c>
      <c r="R490" s="20">
        <v>1</v>
      </c>
      <c r="S490" s="21">
        <f>NETWORKDAYS.INTL(DATE(2018,1,1),DATE(2018,12,31),1,{"2018/1/1";"2018/3/30";"2018/4/2";"2018/5/1";"2018/5/8";"2018/7/5";"2018/7/6";"2018/09/28";"2018/11/17";"2018/12/24";"2018/12/25";"2018/12/26"})</f>
        <v>250</v>
      </c>
      <c r="T490" s="21">
        <f t="shared" si="39"/>
        <v>115</v>
      </c>
      <c r="U490" s="21">
        <f t="shared" si="40"/>
        <v>365</v>
      </c>
      <c r="V490" s="311">
        <f t="shared" si="41"/>
        <v>730</v>
      </c>
      <c r="W490" s="140">
        <f t="shared" si="42"/>
        <v>0</v>
      </c>
      <c r="X490" s="141">
        <f t="shared" si="43"/>
        <v>0</v>
      </c>
      <c r="Y490" s="141">
        <v>0</v>
      </c>
    </row>
    <row r="491" spans="1:25" ht="15" x14ac:dyDescent="0.2">
      <c r="A491" s="276" t="s">
        <v>1308</v>
      </c>
      <c r="B491" s="391" t="s">
        <v>611</v>
      </c>
      <c r="C491" s="391" t="s">
        <v>203</v>
      </c>
      <c r="D491" s="139" t="str">
        <f>VLOOKUP(C491,'Seznam HS - nemaš'!$A$1:$B$96,2,FALSE)</f>
        <v>435401</v>
      </c>
      <c r="E491" s="19" t="s">
        <v>1324</v>
      </c>
      <c r="F491" s="154" t="s">
        <v>1312</v>
      </c>
      <c r="G491" s="154" t="s">
        <v>1325</v>
      </c>
      <c r="H491" s="28">
        <f>+IF(ISBLANK(I491),0,VLOOKUP(I491,'8Příloha_2_ceník_pravid_úklid'!$B$9:$C$30,2,0))</f>
        <v>3</v>
      </c>
      <c r="I491" s="19" t="s">
        <v>3</v>
      </c>
      <c r="J491" s="155">
        <v>13.42</v>
      </c>
      <c r="K491" s="19" t="s">
        <v>51</v>
      </c>
      <c r="L491" s="156" t="s">
        <v>21</v>
      </c>
      <c r="M491" s="22" t="s">
        <v>49</v>
      </c>
      <c r="N491" s="24">
        <f>IF((VLOOKUP(I491,'8Příloha_2_ceník_pravid_úklid'!$B$9:$I$30,8,0))=0,VLOOKUP(I491,'8Příloha_2_ceník_pravid_úklid'!$B$9:$K$30,10,0),VLOOKUP(I491,'8Příloha_2_ceník_pravid_úklid'!$B$9:$I$30,8,0))</f>
        <v>0</v>
      </c>
      <c r="O491" s="20">
        <v>1</v>
      </c>
      <c r="P491" s="20">
        <v>1</v>
      </c>
      <c r="Q491" s="20">
        <v>0</v>
      </c>
      <c r="R491" s="20">
        <v>0</v>
      </c>
      <c r="S491" s="21">
        <f>NETWORKDAYS.INTL(DATE(2018,1,1),DATE(2018,12,31),1,{"2018/1/1";"2018/3/30";"2018/4/2";"2018/5/1";"2018/5/8";"2018/7/5";"2018/7/6";"2018/09/28";"2018/11/17";"2018/12/24";"2018/12/25";"2018/12/26"})</f>
        <v>250</v>
      </c>
      <c r="T491" s="21">
        <f t="shared" si="39"/>
        <v>115</v>
      </c>
      <c r="U491" s="21">
        <f t="shared" si="40"/>
        <v>365</v>
      </c>
      <c r="V491" s="311">
        <f t="shared" si="41"/>
        <v>250</v>
      </c>
      <c r="W491" s="140">
        <f t="shared" si="42"/>
        <v>0</v>
      </c>
      <c r="X491" s="141">
        <f t="shared" si="43"/>
        <v>0</v>
      </c>
      <c r="Y491" s="141">
        <v>0</v>
      </c>
    </row>
    <row r="492" spans="1:25" ht="15" x14ac:dyDescent="0.2">
      <c r="A492" s="276" t="s">
        <v>1308</v>
      </c>
      <c r="B492" s="391" t="s">
        <v>611</v>
      </c>
      <c r="C492" s="391" t="s">
        <v>201</v>
      </c>
      <c r="D492" s="139" t="str">
        <f>VLOOKUP(C492,'Seznam HS - nemaš'!$A$1:$B$96,2,FALSE)</f>
        <v>435400</v>
      </c>
      <c r="E492" s="19" t="s">
        <v>1326</v>
      </c>
      <c r="F492" s="154" t="s">
        <v>375</v>
      </c>
      <c r="G492" s="154"/>
      <c r="H492" s="28">
        <f>+IF(ISBLANK(I492),0,VLOOKUP(I492,'8Příloha_2_ceník_pravid_úklid'!$B$9:$C$30,2,0))</f>
        <v>9</v>
      </c>
      <c r="I492" s="19" t="s">
        <v>10</v>
      </c>
      <c r="J492" s="155">
        <v>22.94</v>
      </c>
      <c r="K492" s="19" t="s">
        <v>51</v>
      </c>
      <c r="L492" s="146" t="s">
        <v>22</v>
      </c>
      <c r="M492" s="22" t="s">
        <v>49</v>
      </c>
      <c r="N492" s="24">
        <f>IF((VLOOKUP(I492,'8Příloha_2_ceník_pravid_úklid'!$B$9:$I$30,8,0))=0,VLOOKUP(I492,'8Příloha_2_ceník_pravid_úklid'!$B$9:$K$30,10,0),VLOOKUP(I492,'8Příloha_2_ceník_pravid_úklid'!$B$9:$I$30,8,0))</f>
        <v>0</v>
      </c>
      <c r="O492" s="20">
        <v>2</v>
      </c>
      <c r="P492" s="20">
        <v>1</v>
      </c>
      <c r="Q492" s="20">
        <v>2</v>
      </c>
      <c r="R492" s="20">
        <v>1</v>
      </c>
      <c r="S492" s="21">
        <f>NETWORKDAYS.INTL(DATE(2018,1,1),DATE(2018,12,31),1,{"2018/1/1";"2018/3/30";"2018/4/2";"2018/5/1";"2018/5/8";"2018/7/5";"2018/7/6";"2018/09/28";"2018/11/17";"2018/12/24";"2018/12/25";"2018/12/26"})</f>
        <v>250</v>
      </c>
      <c r="T492" s="21">
        <f t="shared" si="39"/>
        <v>115</v>
      </c>
      <c r="U492" s="21">
        <f t="shared" si="40"/>
        <v>365</v>
      </c>
      <c r="V492" s="311">
        <f t="shared" si="41"/>
        <v>730</v>
      </c>
      <c r="W492" s="140">
        <f t="shared" si="42"/>
        <v>0</v>
      </c>
      <c r="X492" s="141">
        <f t="shared" si="43"/>
        <v>0</v>
      </c>
      <c r="Y492" s="141">
        <v>0</v>
      </c>
    </row>
    <row r="493" spans="1:25" ht="15" x14ac:dyDescent="0.2">
      <c r="A493" s="276" t="s">
        <v>1308</v>
      </c>
      <c r="B493" s="391" t="s">
        <v>611</v>
      </c>
      <c r="C493" s="391" t="s">
        <v>201</v>
      </c>
      <c r="D493" s="139" t="str">
        <f>VLOOKUP(C493,'Seznam HS - nemaš'!$A$1:$B$96,2,FALSE)</f>
        <v>435400</v>
      </c>
      <c r="E493" s="19" t="s">
        <v>1327</v>
      </c>
      <c r="F493" s="154" t="s">
        <v>428</v>
      </c>
      <c r="G493" s="154" t="s">
        <v>612</v>
      </c>
      <c r="H493" s="28">
        <f>+IF(ISBLANK(I493),0,VLOOKUP(I493,'8Příloha_2_ceník_pravid_úklid'!$B$9:$C$30,2,0))</f>
        <v>3</v>
      </c>
      <c r="I493" s="19" t="s">
        <v>3</v>
      </c>
      <c r="J493" s="155">
        <v>26.89</v>
      </c>
      <c r="K493" s="19" t="s">
        <v>51</v>
      </c>
      <c r="L493" s="397" t="s">
        <v>22</v>
      </c>
      <c r="M493" s="22" t="s">
        <v>49</v>
      </c>
      <c r="N493" s="24">
        <f>IF((VLOOKUP(I493,'8Příloha_2_ceník_pravid_úklid'!$B$9:$I$30,8,0))=0,VLOOKUP(I493,'8Příloha_2_ceník_pravid_úklid'!$B$9:$K$30,10,0),VLOOKUP(I493,'8Příloha_2_ceník_pravid_úklid'!$B$9:$I$30,8,0))</f>
        <v>0</v>
      </c>
      <c r="O493" s="20">
        <v>2</v>
      </c>
      <c r="P493" s="20">
        <v>1</v>
      </c>
      <c r="Q493" s="20">
        <v>2</v>
      </c>
      <c r="R493" s="20">
        <v>1</v>
      </c>
      <c r="S493" s="21">
        <f>NETWORKDAYS.INTL(DATE(2018,1,1),DATE(2018,12,31),1,{"2018/1/1";"2018/3/30";"2018/4/2";"2018/5/1";"2018/5/8";"2018/7/5";"2018/7/6";"2018/09/28";"2018/11/17";"2018/12/24";"2018/12/25";"2018/12/26"})</f>
        <v>250</v>
      </c>
      <c r="T493" s="21">
        <f t="shared" si="39"/>
        <v>115</v>
      </c>
      <c r="U493" s="21">
        <f t="shared" si="40"/>
        <v>365</v>
      </c>
      <c r="V493" s="311">
        <f t="shared" si="41"/>
        <v>730</v>
      </c>
      <c r="W493" s="140">
        <f t="shared" si="42"/>
        <v>0</v>
      </c>
      <c r="X493" s="141">
        <f t="shared" si="43"/>
        <v>0</v>
      </c>
      <c r="Y493" s="141">
        <v>0</v>
      </c>
    </row>
    <row r="494" spans="1:25" ht="15" x14ac:dyDescent="0.2">
      <c r="A494" s="276" t="s">
        <v>1308</v>
      </c>
      <c r="B494" s="391" t="s">
        <v>611</v>
      </c>
      <c r="C494" s="391"/>
      <c r="D494" s="139">
        <f>VLOOKUP(C494,'Seznam HS - nemaš'!$A$1:$B$96,2,FALSE)</f>
        <v>0</v>
      </c>
      <c r="E494" s="19" t="s">
        <v>1328</v>
      </c>
      <c r="F494" s="154" t="s">
        <v>420</v>
      </c>
      <c r="G494" s="154"/>
      <c r="H494" s="28">
        <f>+IF(ISBLANK(I494),0,VLOOKUP(I494,'8Příloha_2_ceník_pravid_úklid'!$B$9:$C$30,2,0))</f>
        <v>6</v>
      </c>
      <c r="I494" s="19" t="s">
        <v>1</v>
      </c>
      <c r="J494" s="155">
        <v>2.81</v>
      </c>
      <c r="K494" s="19" t="s">
        <v>50</v>
      </c>
      <c r="L494" s="146" t="s">
        <v>537</v>
      </c>
      <c r="M494" s="22" t="s">
        <v>49</v>
      </c>
      <c r="N494" s="24">
        <f>IF((VLOOKUP(I494,'8Příloha_2_ceník_pravid_úklid'!$B$9:$I$30,8,0))=0,VLOOKUP(I494,'8Příloha_2_ceník_pravid_úklid'!$B$9:$K$30,10,0),VLOOKUP(I494,'8Příloha_2_ceník_pravid_úklid'!$B$9:$I$30,8,0))</f>
        <v>0</v>
      </c>
      <c r="O494" s="20">
        <v>1</v>
      </c>
      <c r="P494" s="20">
        <v>1</v>
      </c>
      <c r="Q494" s="20">
        <v>1</v>
      </c>
      <c r="R494" s="20">
        <v>1</v>
      </c>
      <c r="S494" s="21">
        <f>NETWORKDAYS.INTL(DATE(2018,1,1),DATE(2018,12,31),1,{"2018/1/1";"2018/3/30";"2018/4/2";"2018/5/1";"2018/5/8";"2018/7/5";"2018/7/6";"2018/09/28";"2018/11/17";"2018/12/24";"2018/12/25";"2018/12/26"})</f>
        <v>250</v>
      </c>
      <c r="T494" s="21">
        <f t="shared" si="39"/>
        <v>115</v>
      </c>
      <c r="U494" s="21">
        <f t="shared" si="40"/>
        <v>365</v>
      </c>
      <c r="V494" s="311">
        <f t="shared" si="41"/>
        <v>365</v>
      </c>
      <c r="W494" s="140">
        <f t="shared" si="42"/>
        <v>0</v>
      </c>
      <c r="X494" s="141">
        <f t="shared" si="43"/>
        <v>0</v>
      </c>
      <c r="Y494" s="141">
        <v>0</v>
      </c>
    </row>
    <row r="495" spans="1:25" ht="15" x14ac:dyDescent="0.2">
      <c r="A495" s="276" t="s">
        <v>1308</v>
      </c>
      <c r="B495" s="391" t="s">
        <v>611</v>
      </c>
      <c r="C495" s="391"/>
      <c r="D495" s="139">
        <f>VLOOKUP(C495,'Seznam HS - nemaš'!$A$1:$B$96,2,FALSE)</f>
        <v>0</v>
      </c>
      <c r="E495" s="19" t="s">
        <v>1329</v>
      </c>
      <c r="F495" s="154" t="s">
        <v>437</v>
      </c>
      <c r="G495" s="154" t="s">
        <v>442</v>
      </c>
      <c r="H495" s="28">
        <f>+IF(ISBLANK(I495),0,VLOOKUP(I495,'8Příloha_2_ceník_pravid_úklid'!$B$9:$C$30,2,0))</f>
        <v>7</v>
      </c>
      <c r="I495" s="19" t="s">
        <v>14</v>
      </c>
      <c r="J495" s="155">
        <v>1.1399999999999999</v>
      </c>
      <c r="K495" s="19" t="s">
        <v>50</v>
      </c>
      <c r="L495" s="146" t="s">
        <v>537</v>
      </c>
      <c r="M495" s="22" t="s">
        <v>49</v>
      </c>
      <c r="N495" s="24">
        <f>IF((VLOOKUP(I495,'8Příloha_2_ceník_pravid_úklid'!$B$9:$I$30,8,0))=0,VLOOKUP(I495,'8Příloha_2_ceník_pravid_úklid'!$B$9:$K$30,10,0),VLOOKUP(I495,'8Příloha_2_ceník_pravid_úklid'!$B$9:$I$30,8,0))</f>
        <v>0</v>
      </c>
      <c r="O495" s="20">
        <v>1</v>
      </c>
      <c r="P495" s="20">
        <v>1</v>
      </c>
      <c r="Q495" s="20">
        <v>1</v>
      </c>
      <c r="R495" s="20">
        <v>1</v>
      </c>
      <c r="S495" s="21">
        <f>NETWORKDAYS.INTL(DATE(2018,1,1),DATE(2018,12,31),1,{"2018/1/1";"2018/3/30";"2018/4/2";"2018/5/1";"2018/5/8";"2018/7/5";"2018/7/6";"2018/09/28";"2018/11/17";"2018/12/24";"2018/12/25";"2018/12/26"})</f>
        <v>250</v>
      </c>
      <c r="T495" s="21">
        <f t="shared" si="39"/>
        <v>115</v>
      </c>
      <c r="U495" s="21">
        <f t="shared" si="40"/>
        <v>365</v>
      </c>
      <c r="V495" s="311">
        <f t="shared" si="41"/>
        <v>365</v>
      </c>
      <c r="W495" s="140">
        <f t="shared" si="42"/>
        <v>0</v>
      </c>
      <c r="X495" s="141">
        <f t="shared" si="43"/>
        <v>0</v>
      </c>
      <c r="Y495" s="141">
        <v>0</v>
      </c>
    </row>
    <row r="496" spans="1:25" ht="15" x14ac:dyDescent="0.2">
      <c r="A496" s="235" t="s">
        <v>1308</v>
      </c>
      <c r="B496" s="396" t="s">
        <v>611</v>
      </c>
      <c r="C496" s="396"/>
      <c r="D496" s="535">
        <f>VLOOKUP(C496,'Seznam HS - nemaš'!$A$1:$B$96,2,FALSE)</f>
        <v>0</v>
      </c>
      <c r="E496" s="229" t="s">
        <v>1330</v>
      </c>
      <c r="F496" s="238" t="s">
        <v>554</v>
      </c>
      <c r="G496" s="238"/>
      <c r="H496" s="224">
        <f>+IF(ISBLANK(I496),0,VLOOKUP(I496,'8Příloha_2_ceník_pravid_úklid'!$B$9:$C$30,2,0))</f>
        <v>0</v>
      </c>
      <c r="I496" s="229"/>
      <c r="J496" s="233">
        <v>1.1399999999999999</v>
      </c>
      <c r="K496" s="229" t="s">
        <v>50</v>
      </c>
      <c r="L496" s="310" t="s">
        <v>66</v>
      </c>
      <c r="M496" s="237" t="s">
        <v>49</v>
      </c>
      <c r="N496" s="229" t="s">
        <v>501</v>
      </c>
      <c r="O496" s="230">
        <v>0</v>
      </c>
      <c r="P496" s="230">
        <v>0</v>
      </c>
      <c r="Q496" s="230">
        <v>0</v>
      </c>
      <c r="R496" s="230">
        <v>0</v>
      </c>
      <c r="S496" s="231">
        <f>NETWORKDAYS.INTL(DATE(2018,1,1),DATE(2018,12,31),1,{"2018/1/1";"2018/3/30";"2018/4/2";"2018/5/1";"2018/5/8";"2018/7/5";"2018/7/6";"2018/09/28";"2018/11/17";"2018/12/24";"2018/12/25";"2018/12/26"})</f>
        <v>250</v>
      </c>
      <c r="T496" s="231">
        <f t="shared" si="39"/>
        <v>115</v>
      </c>
      <c r="U496" s="231">
        <f t="shared" si="40"/>
        <v>365</v>
      </c>
      <c r="V496" s="312">
        <f t="shared" si="41"/>
        <v>0</v>
      </c>
      <c r="W496" s="233">
        <f t="shared" si="42"/>
        <v>0</v>
      </c>
      <c r="X496" s="234">
        <f t="shared" si="43"/>
        <v>0</v>
      </c>
      <c r="Y496" s="234">
        <f t="shared" si="43"/>
        <v>0</v>
      </c>
    </row>
    <row r="497" spans="1:25" ht="15" x14ac:dyDescent="0.2">
      <c r="A497" s="276" t="s">
        <v>1308</v>
      </c>
      <c r="B497" s="391" t="s">
        <v>611</v>
      </c>
      <c r="C497" s="391"/>
      <c r="D497" s="139">
        <f>VLOOKUP(C497,'Seznam HS - nemaš'!$A$1:$B$96,2,FALSE)</f>
        <v>0</v>
      </c>
      <c r="E497" s="19" t="s">
        <v>1331</v>
      </c>
      <c r="F497" s="154" t="s">
        <v>437</v>
      </c>
      <c r="G497" s="154" t="s">
        <v>1332</v>
      </c>
      <c r="H497" s="28">
        <f>+IF(ISBLANK(I497),0,VLOOKUP(I497,'8Příloha_2_ceník_pravid_úklid'!$B$9:$C$30,2,0))</f>
        <v>7</v>
      </c>
      <c r="I497" s="19" t="s">
        <v>14</v>
      </c>
      <c r="J497" s="155">
        <v>3.07</v>
      </c>
      <c r="K497" s="19" t="s">
        <v>50</v>
      </c>
      <c r="L497" s="146" t="s">
        <v>22</v>
      </c>
      <c r="M497" s="22" t="s">
        <v>49</v>
      </c>
      <c r="N497" s="24">
        <f>IF((VLOOKUP(I497,'8Příloha_2_ceník_pravid_úklid'!$B$9:$I$30,8,0))=0,VLOOKUP(I497,'8Příloha_2_ceník_pravid_úklid'!$B$9:$K$30,10,0),VLOOKUP(I497,'8Příloha_2_ceník_pravid_úklid'!$B$9:$I$30,8,0))</f>
        <v>0</v>
      </c>
      <c r="O497" s="20">
        <v>2</v>
      </c>
      <c r="P497" s="20">
        <v>1</v>
      </c>
      <c r="Q497" s="20">
        <v>2</v>
      </c>
      <c r="R497" s="20">
        <v>1</v>
      </c>
      <c r="S497" s="21">
        <f>NETWORKDAYS.INTL(DATE(2018,1,1),DATE(2018,12,31),1,{"2018/1/1";"2018/3/30";"2018/4/2";"2018/5/1";"2018/5/8";"2018/7/5";"2018/7/6";"2018/09/28";"2018/11/17";"2018/12/24";"2018/12/25";"2018/12/26"})</f>
        <v>250</v>
      </c>
      <c r="T497" s="21">
        <f t="shared" si="39"/>
        <v>115</v>
      </c>
      <c r="U497" s="21">
        <f t="shared" si="40"/>
        <v>365</v>
      </c>
      <c r="V497" s="311">
        <f t="shared" si="41"/>
        <v>730</v>
      </c>
      <c r="W497" s="140">
        <f t="shared" si="42"/>
        <v>0</v>
      </c>
      <c r="X497" s="141">
        <f t="shared" si="43"/>
        <v>0</v>
      </c>
      <c r="Y497" s="141">
        <v>0</v>
      </c>
    </row>
    <row r="498" spans="1:25" ht="15" x14ac:dyDescent="0.2">
      <c r="A498" s="276" t="s">
        <v>1308</v>
      </c>
      <c r="B498" s="391" t="s">
        <v>611</v>
      </c>
      <c r="C498" s="391"/>
      <c r="D498" s="139">
        <f>VLOOKUP(C498,'Seznam HS - nemaš'!$A$1:$B$96,2,FALSE)</f>
        <v>0</v>
      </c>
      <c r="E498" s="19" t="s">
        <v>1333</v>
      </c>
      <c r="F498" s="154" t="s">
        <v>437</v>
      </c>
      <c r="G498" s="154" t="s">
        <v>1334</v>
      </c>
      <c r="H498" s="28">
        <f>+IF(ISBLANK(I498),0,VLOOKUP(I498,'8Příloha_2_ceník_pravid_úklid'!$B$9:$C$30,2,0))</f>
        <v>7</v>
      </c>
      <c r="I498" s="19" t="s">
        <v>14</v>
      </c>
      <c r="J498" s="155">
        <v>2.56</v>
      </c>
      <c r="K498" s="19" t="s">
        <v>50</v>
      </c>
      <c r="L498" s="146" t="s">
        <v>22</v>
      </c>
      <c r="M498" s="22" t="s">
        <v>49</v>
      </c>
      <c r="N498" s="24">
        <f>IF((VLOOKUP(I498,'8Příloha_2_ceník_pravid_úklid'!$B$9:$I$30,8,0))=0,VLOOKUP(I498,'8Příloha_2_ceník_pravid_úklid'!$B$9:$K$30,10,0),VLOOKUP(I498,'8Příloha_2_ceník_pravid_úklid'!$B$9:$I$30,8,0))</f>
        <v>0</v>
      </c>
      <c r="O498" s="20">
        <v>2</v>
      </c>
      <c r="P498" s="20">
        <v>1</v>
      </c>
      <c r="Q498" s="20">
        <v>2</v>
      </c>
      <c r="R498" s="20">
        <v>1</v>
      </c>
      <c r="S498" s="21">
        <f>NETWORKDAYS.INTL(DATE(2018,1,1),DATE(2018,12,31),1,{"2018/1/1";"2018/3/30";"2018/4/2";"2018/5/1";"2018/5/8";"2018/7/5";"2018/7/6";"2018/09/28";"2018/11/17";"2018/12/24";"2018/12/25";"2018/12/26"})</f>
        <v>250</v>
      </c>
      <c r="T498" s="21">
        <f t="shared" si="39"/>
        <v>115</v>
      </c>
      <c r="U498" s="21">
        <f t="shared" si="40"/>
        <v>365</v>
      </c>
      <c r="V498" s="311">
        <f t="shared" si="41"/>
        <v>730</v>
      </c>
      <c r="W498" s="140">
        <f t="shared" si="42"/>
        <v>0</v>
      </c>
      <c r="X498" s="141">
        <f t="shared" si="43"/>
        <v>0</v>
      </c>
      <c r="Y498" s="141">
        <v>0</v>
      </c>
    </row>
    <row r="499" spans="1:25" ht="15" x14ac:dyDescent="0.2">
      <c r="A499" s="276" t="s">
        <v>1308</v>
      </c>
      <c r="B499" s="391" t="s">
        <v>611</v>
      </c>
      <c r="C499" s="391" t="s">
        <v>201</v>
      </c>
      <c r="D499" s="139" t="str">
        <f>VLOOKUP(C499,'Seznam HS - nemaš'!$A$1:$B$96,2,FALSE)</f>
        <v>435400</v>
      </c>
      <c r="E499" s="19" t="s">
        <v>1335</v>
      </c>
      <c r="F499" s="154" t="s">
        <v>428</v>
      </c>
      <c r="G499" s="154" t="s">
        <v>1336</v>
      </c>
      <c r="H499" s="28">
        <f>+IF(ISBLANK(I499),0,VLOOKUP(I499,'8Příloha_2_ceník_pravid_úklid'!$B$9:$C$30,2,0))</f>
        <v>3</v>
      </c>
      <c r="I499" s="19" t="s">
        <v>3</v>
      </c>
      <c r="J499" s="155">
        <v>9.8000000000000007</v>
      </c>
      <c r="K499" s="19" t="s">
        <v>51</v>
      </c>
      <c r="L499" s="156" t="s">
        <v>21</v>
      </c>
      <c r="M499" s="22" t="s">
        <v>49</v>
      </c>
      <c r="N499" s="24">
        <f>IF((VLOOKUP(I499,'8Příloha_2_ceník_pravid_úklid'!$B$9:$I$30,8,0))=0,VLOOKUP(I499,'8Příloha_2_ceník_pravid_úklid'!$B$9:$K$30,10,0),VLOOKUP(I499,'8Příloha_2_ceník_pravid_úklid'!$B$9:$I$30,8,0))</f>
        <v>0</v>
      </c>
      <c r="O499" s="20">
        <v>1</v>
      </c>
      <c r="P499" s="20">
        <v>1</v>
      </c>
      <c r="Q499" s="20">
        <v>0</v>
      </c>
      <c r="R499" s="20">
        <v>0</v>
      </c>
      <c r="S499" s="21">
        <f>NETWORKDAYS.INTL(DATE(2018,1,1),DATE(2018,12,31),1,{"2018/1/1";"2018/3/30";"2018/4/2";"2018/5/1";"2018/5/8";"2018/7/5";"2018/7/6";"2018/09/28";"2018/11/17";"2018/12/24";"2018/12/25";"2018/12/26"})</f>
        <v>250</v>
      </c>
      <c r="T499" s="21">
        <f t="shared" si="39"/>
        <v>115</v>
      </c>
      <c r="U499" s="21">
        <f t="shared" si="40"/>
        <v>365</v>
      </c>
      <c r="V499" s="311">
        <f t="shared" si="41"/>
        <v>250</v>
      </c>
      <c r="W499" s="140">
        <f t="shared" si="42"/>
        <v>0</v>
      </c>
      <c r="X499" s="141">
        <f t="shared" si="43"/>
        <v>0</v>
      </c>
      <c r="Y499" s="141">
        <v>0</v>
      </c>
    </row>
    <row r="500" spans="1:25" ht="15" x14ac:dyDescent="0.2">
      <c r="A500" s="276" t="s">
        <v>1308</v>
      </c>
      <c r="B500" s="391" t="s">
        <v>611</v>
      </c>
      <c r="C500" s="391" t="s">
        <v>201</v>
      </c>
      <c r="D500" s="139" t="str">
        <f>VLOOKUP(C500,'Seznam HS - nemaš'!$A$1:$B$96,2,FALSE)</f>
        <v>435400</v>
      </c>
      <c r="E500" s="19" t="s">
        <v>1337</v>
      </c>
      <c r="F500" s="154" t="s">
        <v>437</v>
      </c>
      <c r="G500" s="154"/>
      <c r="H500" s="28">
        <f>+IF(ISBLANK(I500),0,VLOOKUP(I500,'8Příloha_2_ceník_pravid_úklid'!$B$9:$C$30,2,0))</f>
        <v>7</v>
      </c>
      <c r="I500" s="19" t="s">
        <v>14</v>
      </c>
      <c r="J500" s="155">
        <v>1.56</v>
      </c>
      <c r="K500" s="19" t="s">
        <v>50</v>
      </c>
      <c r="L500" s="146" t="s">
        <v>22</v>
      </c>
      <c r="M500" s="22" t="s">
        <v>49</v>
      </c>
      <c r="N500" s="24">
        <f>IF((VLOOKUP(I500,'8Příloha_2_ceník_pravid_úklid'!$B$9:$I$30,8,0))=0,VLOOKUP(I500,'8Příloha_2_ceník_pravid_úklid'!$B$9:$K$30,10,0),VLOOKUP(I500,'8Příloha_2_ceník_pravid_úklid'!$B$9:$I$30,8,0))</f>
        <v>0</v>
      </c>
      <c r="O500" s="20">
        <v>2</v>
      </c>
      <c r="P500" s="20">
        <v>1</v>
      </c>
      <c r="Q500" s="20">
        <v>2</v>
      </c>
      <c r="R500" s="20">
        <v>1</v>
      </c>
      <c r="S500" s="21">
        <f>NETWORKDAYS.INTL(DATE(2018,1,1),DATE(2018,12,31),1,{"2018/1/1";"2018/3/30";"2018/4/2";"2018/5/1";"2018/5/8";"2018/7/5";"2018/7/6";"2018/09/28";"2018/11/17";"2018/12/24";"2018/12/25";"2018/12/26"})</f>
        <v>250</v>
      </c>
      <c r="T500" s="21">
        <f t="shared" si="39"/>
        <v>115</v>
      </c>
      <c r="U500" s="21">
        <f t="shared" si="40"/>
        <v>365</v>
      </c>
      <c r="V500" s="311">
        <f t="shared" si="41"/>
        <v>730</v>
      </c>
      <c r="W500" s="140">
        <f t="shared" si="42"/>
        <v>0</v>
      </c>
      <c r="X500" s="141">
        <f t="shared" si="43"/>
        <v>0</v>
      </c>
      <c r="Y500" s="141">
        <v>0</v>
      </c>
    </row>
    <row r="501" spans="1:25" ht="15" x14ac:dyDescent="0.2">
      <c r="A501" s="276" t="s">
        <v>1308</v>
      </c>
      <c r="B501" s="391" t="s">
        <v>611</v>
      </c>
      <c r="C501" s="391" t="s">
        <v>201</v>
      </c>
      <c r="D501" s="139" t="str">
        <f>VLOOKUP(C501,'Seznam HS - nemaš'!$A$1:$B$96,2,FALSE)</f>
        <v>435400</v>
      </c>
      <c r="E501" s="19" t="s">
        <v>1338</v>
      </c>
      <c r="F501" s="154" t="s">
        <v>1339</v>
      </c>
      <c r="G501" s="154"/>
      <c r="H501" s="28">
        <f>+IF(ISBLANK(I501),0,VLOOKUP(I501,'8Příloha_2_ceník_pravid_úklid'!$B$9:$C$30,2,0))</f>
        <v>3</v>
      </c>
      <c r="I501" s="19" t="s">
        <v>3</v>
      </c>
      <c r="J501" s="155">
        <v>2.34</v>
      </c>
      <c r="K501" s="19" t="s">
        <v>51</v>
      </c>
      <c r="L501" s="156" t="s">
        <v>21</v>
      </c>
      <c r="M501" s="22" t="s">
        <v>49</v>
      </c>
      <c r="N501" s="24">
        <f>IF((VLOOKUP(I501,'8Příloha_2_ceník_pravid_úklid'!$B$9:$I$30,8,0))=0,VLOOKUP(I501,'8Příloha_2_ceník_pravid_úklid'!$B$9:$K$30,10,0),VLOOKUP(I501,'8Příloha_2_ceník_pravid_úklid'!$B$9:$I$30,8,0))</f>
        <v>0</v>
      </c>
      <c r="O501" s="20">
        <v>1</v>
      </c>
      <c r="P501" s="20">
        <v>1</v>
      </c>
      <c r="Q501" s="20">
        <v>0</v>
      </c>
      <c r="R501" s="20">
        <v>0</v>
      </c>
      <c r="S501" s="21">
        <f>NETWORKDAYS.INTL(DATE(2018,1,1),DATE(2018,12,31),1,{"2018/1/1";"2018/3/30";"2018/4/2";"2018/5/1";"2018/5/8";"2018/7/5";"2018/7/6";"2018/09/28";"2018/11/17";"2018/12/24";"2018/12/25";"2018/12/26"})</f>
        <v>250</v>
      </c>
      <c r="T501" s="21">
        <f t="shared" si="39"/>
        <v>115</v>
      </c>
      <c r="U501" s="21">
        <f t="shared" si="40"/>
        <v>365</v>
      </c>
      <c r="V501" s="311">
        <f t="shared" si="41"/>
        <v>250</v>
      </c>
      <c r="W501" s="140">
        <f t="shared" si="42"/>
        <v>0</v>
      </c>
      <c r="X501" s="141">
        <f t="shared" si="43"/>
        <v>0</v>
      </c>
      <c r="Y501" s="141">
        <v>0</v>
      </c>
    </row>
    <row r="502" spans="1:25" ht="15" x14ac:dyDescent="0.2">
      <c r="A502" s="276" t="s">
        <v>1308</v>
      </c>
      <c r="B502" s="391" t="s">
        <v>611</v>
      </c>
      <c r="C502" s="391" t="s">
        <v>201</v>
      </c>
      <c r="D502" s="139" t="str">
        <f>VLOOKUP(C502,'Seznam HS - nemaš'!$A$1:$B$96,2,FALSE)</f>
        <v>435400</v>
      </c>
      <c r="E502" s="19" t="s">
        <v>1340</v>
      </c>
      <c r="F502" s="154" t="s">
        <v>565</v>
      </c>
      <c r="G502" s="154"/>
      <c r="H502" s="28">
        <f>+IF(ISBLANK(I502),0,VLOOKUP(I502,'8Příloha_2_ceník_pravid_úklid'!$B$9:$C$30,2,0))</f>
        <v>3</v>
      </c>
      <c r="I502" s="19" t="s">
        <v>3</v>
      </c>
      <c r="J502" s="155">
        <v>5.14</v>
      </c>
      <c r="K502" s="19" t="s">
        <v>51</v>
      </c>
      <c r="L502" s="156" t="s">
        <v>22</v>
      </c>
      <c r="M502" s="22" t="s">
        <v>49</v>
      </c>
      <c r="N502" s="24">
        <f>IF((VLOOKUP(I502,'8Příloha_2_ceník_pravid_úklid'!$B$9:$I$30,8,0))=0,VLOOKUP(I502,'8Příloha_2_ceník_pravid_úklid'!$B$9:$K$30,10,0),VLOOKUP(I502,'8Příloha_2_ceník_pravid_úklid'!$B$9:$I$30,8,0))</f>
        <v>0</v>
      </c>
      <c r="O502" s="20">
        <v>2</v>
      </c>
      <c r="P502" s="20">
        <v>1</v>
      </c>
      <c r="Q502" s="20">
        <v>2</v>
      </c>
      <c r="R502" s="20">
        <v>1</v>
      </c>
      <c r="S502" s="21">
        <f>NETWORKDAYS.INTL(DATE(2018,1,1),DATE(2018,12,31),1,{"2018/1/1";"2018/3/30";"2018/4/2";"2018/5/1";"2018/5/8";"2018/7/5";"2018/7/6";"2018/09/28";"2018/11/17";"2018/12/24";"2018/12/25";"2018/12/26"})</f>
        <v>250</v>
      </c>
      <c r="T502" s="21">
        <f t="shared" si="39"/>
        <v>115</v>
      </c>
      <c r="U502" s="21">
        <f t="shared" si="40"/>
        <v>365</v>
      </c>
      <c r="V502" s="311">
        <f t="shared" si="41"/>
        <v>730</v>
      </c>
      <c r="W502" s="140">
        <f t="shared" si="42"/>
        <v>0</v>
      </c>
      <c r="X502" s="141">
        <f t="shared" si="43"/>
        <v>0</v>
      </c>
      <c r="Y502" s="141">
        <v>0</v>
      </c>
    </row>
    <row r="503" spans="1:25" ht="15" x14ac:dyDescent="0.2">
      <c r="A503" s="276" t="s">
        <v>1308</v>
      </c>
      <c r="B503" s="391" t="s">
        <v>611</v>
      </c>
      <c r="C503" s="391" t="s">
        <v>201</v>
      </c>
      <c r="D503" s="139" t="str">
        <f>VLOOKUP(C503,'Seznam HS - nemaš'!$A$1:$B$96,2,FALSE)</f>
        <v>435400</v>
      </c>
      <c r="E503" s="19" t="s">
        <v>1341</v>
      </c>
      <c r="F503" s="154" t="s">
        <v>428</v>
      </c>
      <c r="G503" s="154" t="s">
        <v>1342</v>
      </c>
      <c r="H503" s="28">
        <f>+IF(ISBLANK(I503),0,VLOOKUP(I503,'8Příloha_2_ceník_pravid_úklid'!$B$9:$C$30,2,0))</f>
        <v>3</v>
      </c>
      <c r="I503" s="19" t="s">
        <v>3</v>
      </c>
      <c r="J503" s="155">
        <v>9.81</v>
      </c>
      <c r="K503" s="19" t="s">
        <v>51</v>
      </c>
      <c r="L503" s="156" t="s">
        <v>21</v>
      </c>
      <c r="M503" s="22" t="s">
        <v>49</v>
      </c>
      <c r="N503" s="24">
        <f>IF((VLOOKUP(I503,'8Příloha_2_ceník_pravid_úklid'!$B$9:$I$30,8,0))=0,VLOOKUP(I503,'8Příloha_2_ceník_pravid_úklid'!$B$9:$K$30,10,0),VLOOKUP(I503,'8Příloha_2_ceník_pravid_úklid'!$B$9:$I$30,8,0))</f>
        <v>0</v>
      </c>
      <c r="O503" s="20">
        <v>1</v>
      </c>
      <c r="P503" s="20">
        <v>1</v>
      </c>
      <c r="Q503" s="20">
        <v>0</v>
      </c>
      <c r="R503" s="20">
        <v>0</v>
      </c>
      <c r="S503" s="21">
        <f>NETWORKDAYS.INTL(DATE(2018,1,1),DATE(2018,12,31),1,{"2018/1/1";"2018/3/30";"2018/4/2";"2018/5/1";"2018/5/8";"2018/7/5";"2018/7/6";"2018/09/28";"2018/11/17";"2018/12/24";"2018/12/25";"2018/12/26"})</f>
        <v>250</v>
      </c>
      <c r="T503" s="21">
        <f t="shared" si="39"/>
        <v>115</v>
      </c>
      <c r="U503" s="21">
        <f t="shared" si="40"/>
        <v>365</v>
      </c>
      <c r="V503" s="311">
        <f t="shared" si="41"/>
        <v>250</v>
      </c>
      <c r="W503" s="140">
        <f t="shared" si="42"/>
        <v>0</v>
      </c>
      <c r="X503" s="141">
        <f t="shared" si="43"/>
        <v>0</v>
      </c>
      <c r="Y503" s="141">
        <v>0</v>
      </c>
    </row>
    <row r="504" spans="1:25" ht="15" x14ac:dyDescent="0.2">
      <c r="A504" s="276" t="s">
        <v>1308</v>
      </c>
      <c r="B504" s="391" t="s">
        <v>611</v>
      </c>
      <c r="C504" s="391" t="s">
        <v>201</v>
      </c>
      <c r="D504" s="139" t="str">
        <f>VLOOKUP(C504,'Seznam HS - nemaš'!$A$1:$B$96,2,FALSE)</f>
        <v>435400</v>
      </c>
      <c r="E504" s="19" t="s">
        <v>1343</v>
      </c>
      <c r="F504" s="154" t="s">
        <v>1339</v>
      </c>
      <c r="G504" s="154"/>
      <c r="H504" s="28">
        <f>+IF(ISBLANK(I504),0,VLOOKUP(I504,'8Příloha_2_ceník_pravid_úklid'!$B$9:$C$30,2,0))</f>
        <v>3</v>
      </c>
      <c r="I504" s="19" t="s">
        <v>3</v>
      </c>
      <c r="J504" s="155">
        <v>2.34</v>
      </c>
      <c r="K504" s="19" t="s">
        <v>51</v>
      </c>
      <c r="L504" s="156" t="s">
        <v>21</v>
      </c>
      <c r="M504" s="22" t="s">
        <v>49</v>
      </c>
      <c r="N504" s="24">
        <f>IF((VLOOKUP(I504,'8Příloha_2_ceník_pravid_úklid'!$B$9:$I$30,8,0))=0,VLOOKUP(I504,'8Příloha_2_ceník_pravid_úklid'!$B$9:$K$30,10,0),VLOOKUP(I504,'8Příloha_2_ceník_pravid_úklid'!$B$9:$I$30,8,0))</f>
        <v>0</v>
      </c>
      <c r="O504" s="20">
        <v>1</v>
      </c>
      <c r="P504" s="20">
        <v>1</v>
      </c>
      <c r="Q504" s="20">
        <v>0</v>
      </c>
      <c r="R504" s="20">
        <v>0</v>
      </c>
      <c r="S504" s="21">
        <f>NETWORKDAYS.INTL(DATE(2018,1,1),DATE(2018,12,31),1,{"2018/1/1";"2018/3/30";"2018/4/2";"2018/5/1";"2018/5/8";"2018/7/5";"2018/7/6";"2018/09/28";"2018/11/17";"2018/12/24";"2018/12/25";"2018/12/26"})</f>
        <v>250</v>
      </c>
      <c r="T504" s="21">
        <f t="shared" si="39"/>
        <v>115</v>
      </c>
      <c r="U504" s="21">
        <f t="shared" si="40"/>
        <v>365</v>
      </c>
      <c r="V504" s="311">
        <f t="shared" si="41"/>
        <v>250</v>
      </c>
      <c r="W504" s="140">
        <f t="shared" si="42"/>
        <v>0</v>
      </c>
      <c r="X504" s="141">
        <f t="shared" si="43"/>
        <v>0</v>
      </c>
      <c r="Y504" s="141">
        <v>0</v>
      </c>
    </row>
    <row r="505" spans="1:25" ht="15" x14ac:dyDescent="0.2">
      <c r="A505" s="276" t="s">
        <v>1308</v>
      </c>
      <c r="B505" s="391" t="s">
        <v>611</v>
      </c>
      <c r="C505" s="391" t="s">
        <v>201</v>
      </c>
      <c r="D505" s="139" t="str">
        <f>VLOOKUP(C505,'Seznam HS - nemaš'!$A$1:$B$96,2,FALSE)</f>
        <v>435400</v>
      </c>
      <c r="E505" s="19" t="s">
        <v>1344</v>
      </c>
      <c r="F505" s="154" t="s">
        <v>437</v>
      </c>
      <c r="G505" s="154"/>
      <c r="H505" s="28">
        <f>+IF(ISBLANK(I505),0,VLOOKUP(I505,'8Příloha_2_ceník_pravid_úklid'!$B$9:$C$30,2,0))</f>
        <v>7</v>
      </c>
      <c r="I505" s="19" t="s">
        <v>14</v>
      </c>
      <c r="J505" s="155">
        <v>1.55</v>
      </c>
      <c r="K505" s="19" t="s">
        <v>50</v>
      </c>
      <c r="L505" s="146" t="s">
        <v>22</v>
      </c>
      <c r="M505" s="22" t="s">
        <v>49</v>
      </c>
      <c r="N505" s="24">
        <f>IF((VLOOKUP(I505,'8Příloha_2_ceník_pravid_úklid'!$B$9:$I$30,8,0))=0,VLOOKUP(I505,'8Příloha_2_ceník_pravid_úklid'!$B$9:$K$30,10,0),VLOOKUP(I505,'8Příloha_2_ceník_pravid_úklid'!$B$9:$I$30,8,0))</f>
        <v>0</v>
      </c>
      <c r="O505" s="20">
        <v>2</v>
      </c>
      <c r="P505" s="20">
        <v>1</v>
      </c>
      <c r="Q505" s="20">
        <v>2</v>
      </c>
      <c r="R505" s="20">
        <v>1</v>
      </c>
      <c r="S505" s="21">
        <f>NETWORKDAYS.INTL(DATE(2018,1,1),DATE(2018,12,31),1,{"2018/1/1";"2018/3/30";"2018/4/2";"2018/5/1";"2018/5/8";"2018/7/5";"2018/7/6";"2018/09/28";"2018/11/17";"2018/12/24";"2018/12/25";"2018/12/26"})</f>
        <v>250</v>
      </c>
      <c r="T505" s="21">
        <f t="shared" si="39"/>
        <v>115</v>
      </c>
      <c r="U505" s="21">
        <f t="shared" si="40"/>
        <v>365</v>
      </c>
      <c r="V505" s="311">
        <f t="shared" si="41"/>
        <v>730</v>
      </c>
      <c r="W505" s="140">
        <f t="shared" si="42"/>
        <v>0</v>
      </c>
      <c r="X505" s="141">
        <f t="shared" si="43"/>
        <v>0</v>
      </c>
      <c r="Y505" s="141">
        <v>0</v>
      </c>
    </row>
    <row r="506" spans="1:25" ht="15" x14ac:dyDescent="0.2">
      <c r="A506" s="276" t="s">
        <v>1345</v>
      </c>
      <c r="B506" s="391" t="s">
        <v>611</v>
      </c>
      <c r="C506" s="391" t="s">
        <v>169</v>
      </c>
      <c r="D506" s="139" t="str">
        <f>VLOOKUP(C506,'Seznam HS - nemaš'!$A$1:$B$96,2,FALSE)</f>
        <v>411100</v>
      </c>
      <c r="E506" s="19" t="s">
        <v>1346</v>
      </c>
      <c r="F506" s="154" t="s">
        <v>893</v>
      </c>
      <c r="G506" s="154"/>
      <c r="H506" s="28">
        <f>+IF(ISBLANK(I506),0,VLOOKUP(I506,'8Příloha_2_ceník_pravid_úklid'!$B$9:$C$30,2,0))</f>
        <v>7</v>
      </c>
      <c r="I506" s="19" t="s">
        <v>14</v>
      </c>
      <c r="J506" s="155">
        <v>6.39</v>
      </c>
      <c r="K506" s="19" t="s">
        <v>50</v>
      </c>
      <c r="L506" s="146" t="s">
        <v>22</v>
      </c>
      <c r="M506" s="22" t="s">
        <v>49</v>
      </c>
      <c r="N506" s="24">
        <f>IF((VLOOKUP(I506,'8Příloha_2_ceník_pravid_úklid'!$B$9:$I$30,8,0))=0,VLOOKUP(I506,'8Příloha_2_ceník_pravid_úklid'!$B$9:$K$30,10,0),VLOOKUP(I506,'8Příloha_2_ceník_pravid_úklid'!$B$9:$I$30,8,0))</f>
        <v>0</v>
      </c>
      <c r="O506" s="20">
        <v>2</v>
      </c>
      <c r="P506" s="20">
        <v>1</v>
      </c>
      <c r="Q506" s="20">
        <v>2</v>
      </c>
      <c r="R506" s="20">
        <v>1</v>
      </c>
      <c r="S506" s="21">
        <f>NETWORKDAYS.INTL(DATE(2018,1,1),DATE(2018,12,31),1,{"2018/1/1";"2018/3/30";"2018/4/2";"2018/5/1";"2018/5/8";"2018/7/5";"2018/7/6";"2018/09/28";"2018/11/17";"2018/12/24";"2018/12/25";"2018/12/26"})</f>
        <v>250</v>
      </c>
      <c r="T506" s="21">
        <f t="shared" si="39"/>
        <v>115</v>
      </c>
      <c r="U506" s="21">
        <f t="shared" si="40"/>
        <v>365</v>
      </c>
      <c r="V506" s="311">
        <f t="shared" si="41"/>
        <v>730</v>
      </c>
      <c r="W506" s="140">
        <f t="shared" si="42"/>
        <v>0</v>
      </c>
      <c r="X506" s="141">
        <f t="shared" si="43"/>
        <v>0</v>
      </c>
      <c r="Y506" s="141">
        <v>0</v>
      </c>
    </row>
    <row r="507" spans="1:25" ht="15" x14ac:dyDescent="0.2">
      <c r="A507" s="276" t="s">
        <v>1345</v>
      </c>
      <c r="B507" s="391" t="s">
        <v>611</v>
      </c>
      <c r="C507" s="391" t="s">
        <v>169</v>
      </c>
      <c r="D507" s="139" t="str">
        <f>VLOOKUP(C507,'Seznam HS - nemaš'!$A$1:$B$96,2,FALSE)</f>
        <v>411100</v>
      </c>
      <c r="E507" s="19" t="s">
        <v>1347</v>
      </c>
      <c r="F507" s="154" t="s">
        <v>437</v>
      </c>
      <c r="G507" s="154" t="s">
        <v>444</v>
      </c>
      <c r="H507" s="28">
        <f>+IF(ISBLANK(I507),0,VLOOKUP(I507,'8Příloha_2_ceník_pravid_úklid'!$B$9:$C$30,2,0))</f>
        <v>7</v>
      </c>
      <c r="I507" s="19" t="s">
        <v>14</v>
      </c>
      <c r="J507" s="155">
        <v>2.92</v>
      </c>
      <c r="K507" s="19" t="s">
        <v>50</v>
      </c>
      <c r="L507" s="146" t="s">
        <v>22</v>
      </c>
      <c r="M507" s="22" t="s">
        <v>49</v>
      </c>
      <c r="N507" s="24">
        <f>IF((VLOOKUP(I507,'8Příloha_2_ceník_pravid_úklid'!$B$9:$I$30,8,0))=0,VLOOKUP(I507,'8Příloha_2_ceník_pravid_úklid'!$B$9:$K$30,10,0),VLOOKUP(I507,'8Příloha_2_ceník_pravid_úklid'!$B$9:$I$30,8,0))</f>
        <v>0</v>
      </c>
      <c r="O507" s="20">
        <v>2</v>
      </c>
      <c r="P507" s="20">
        <v>1</v>
      </c>
      <c r="Q507" s="20">
        <v>2</v>
      </c>
      <c r="R507" s="20">
        <v>1</v>
      </c>
      <c r="S507" s="21">
        <f>NETWORKDAYS.INTL(DATE(2018,1,1),DATE(2018,12,31),1,{"2018/1/1";"2018/3/30";"2018/4/2";"2018/5/1";"2018/5/8";"2018/7/5";"2018/7/6";"2018/09/28";"2018/11/17";"2018/12/24";"2018/12/25";"2018/12/26"})</f>
        <v>250</v>
      </c>
      <c r="T507" s="21">
        <f t="shared" si="39"/>
        <v>115</v>
      </c>
      <c r="U507" s="21">
        <f t="shared" si="40"/>
        <v>365</v>
      </c>
      <c r="V507" s="311">
        <f t="shared" si="41"/>
        <v>730</v>
      </c>
      <c r="W507" s="140">
        <f t="shared" si="42"/>
        <v>0</v>
      </c>
      <c r="X507" s="141">
        <f t="shared" si="43"/>
        <v>0</v>
      </c>
      <c r="Y507" s="141">
        <v>0</v>
      </c>
    </row>
    <row r="508" spans="1:25" ht="15" x14ac:dyDescent="0.2">
      <c r="A508" s="276" t="s">
        <v>1345</v>
      </c>
      <c r="B508" s="391" t="s">
        <v>611</v>
      </c>
      <c r="C508" s="391" t="s">
        <v>169</v>
      </c>
      <c r="D508" s="139" t="str">
        <f>VLOOKUP(C508,'Seznam HS - nemaš'!$A$1:$B$96,2,FALSE)</f>
        <v>411100</v>
      </c>
      <c r="E508" s="19" t="s">
        <v>1348</v>
      </c>
      <c r="F508" s="154" t="s">
        <v>437</v>
      </c>
      <c r="G508" s="154"/>
      <c r="H508" s="28">
        <f>+IF(ISBLANK(I508),0,VLOOKUP(I508,'8Příloha_2_ceník_pravid_úklid'!$B$9:$C$30,2,0))</f>
        <v>7</v>
      </c>
      <c r="I508" s="19" t="s">
        <v>14</v>
      </c>
      <c r="J508" s="155">
        <v>1.31</v>
      </c>
      <c r="K508" s="19" t="s">
        <v>50</v>
      </c>
      <c r="L508" s="146" t="s">
        <v>22</v>
      </c>
      <c r="M508" s="22" t="s">
        <v>49</v>
      </c>
      <c r="N508" s="24">
        <f>IF((VLOOKUP(I508,'8Příloha_2_ceník_pravid_úklid'!$B$9:$I$30,8,0))=0,VLOOKUP(I508,'8Příloha_2_ceník_pravid_úklid'!$B$9:$K$30,10,0),VLOOKUP(I508,'8Příloha_2_ceník_pravid_úklid'!$B$9:$I$30,8,0))</f>
        <v>0</v>
      </c>
      <c r="O508" s="20">
        <v>2</v>
      </c>
      <c r="P508" s="20">
        <v>1</v>
      </c>
      <c r="Q508" s="20">
        <v>2</v>
      </c>
      <c r="R508" s="20">
        <v>1</v>
      </c>
      <c r="S508" s="21">
        <f>NETWORKDAYS.INTL(DATE(2018,1,1),DATE(2018,12,31),1,{"2018/1/1";"2018/3/30";"2018/4/2";"2018/5/1";"2018/5/8";"2018/7/5";"2018/7/6";"2018/09/28";"2018/11/17";"2018/12/24";"2018/12/25";"2018/12/26"})</f>
        <v>250</v>
      </c>
      <c r="T508" s="21">
        <f t="shared" si="39"/>
        <v>115</v>
      </c>
      <c r="U508" s="21">
        <f t="shared" si="40"/>
        <v>365</v>
      </c>
      <c r="V508" s="311">
        <f t="shared" si="41"/>
        <v>730</v>
      </c>
      <c r="W508" s="140">
        <f t="shared" si="42"/>
        <v>0</v>
      </c>
      <c r="X508" s="141">
        <f t="shared" si="43"/>
        <v>0</v>
      </c>
      <c r="Y508" s="141">
        <v>0</v>
      </c>
    </row>
    <row r="509" spans="1:25" ht="15" x14ac:dyDescent="0.2">
      <c r="A509" s="276" t="s">
        <v>1345</v>
      </c>
      <c r="B509" s="391" t="s">
        <v>611</v>
      </c>
      <c r="C509" s="391" t="s">
        <v>169</v>
      </c>
      <c r="D509" s="139" t="str">
        <f>VLOOKUP(C509,'Seznam HS - nemaš'!$A$1:$B$96,2,FALSE)</f>
        <v>411100</v>
      </c>
      <c r="E509" s="19" t="s">
        <v>1349</v>
      </c>
      <c r="F509" s="154" t="s">
        <v>893</v>
      </c>
      <c r="G509" s="154"/>
      <c r="H509" s="28">
        <f>+IF(ISBLANK(I509),0,VLOOKUP(I509,'8Příloha_2_ceník_pravid_úklid'!$B$9:$C$30,2,0))</f>
        <v>7</v>
      </c>
      <c r="I509" s="19" t="s">
        <v>14</v>
      </c>
      <c r="J509" s="155">
        <v>1.37</v>
      </c>
      <c r="K509" s="19" t="s">
        <v>50</v>
      </c>
      <c r="L509" s="146" t="s">
        <v>22</v>
      </c>
      <c r="M509" s="22" t="s">
        <v>49</v>
      </c>
      <c r="N509" s="24">
        <f>IF((VLOOKUP(I509,'8Příloha_2_ceník_pravid_úklid'!$B$9:$I$30,8,0))=0,VLOOKUP(I509,'8Příloha_2_ceník_pravid_úklid'!$B$9:$K$30,10,0),VLOOKUP(I509,'8Příloha_2_ceník_pravid_úklid'!$B$9:$I$30,8,0))</f>
        <v>0</v>
      </c>
      <c r="O509" s="20">
        <v>2</v>
      </c>
      <c r="P509" s="20">
        <v>1</v>
      </c>
      <c r="Q509" s="20">
        <v>2</v>
      </c>
      <c r="R509" s="20">
        <v>1</v>
      </c>
      <c r="S509" s="21">
        <f>NETWORKDAYS.INTL(DATE(2018,1,1),DATE(2018,12,31),1,{"2018/1/1";"2018/3/30";"2018/4/2";"2018/5/1";"2018/5/8";"2018/7/5";"2018/7/6";"2018/09/28";"2018/11/17";"2018/12/24";"2018/12/25";"2018/12/26"})</f>
        <v>250</v>
      </c>
      <c r="T509" s="21">
        <f t="shared" si="39"/>
        <v>115</v>
      </c>
      <c r="U509" s="21">
        <f t="shared" si="40"/>
        <v>365</v>
      </c>
      <c r="V509" s="311">
        <f t="shared" si="41"/>
        <v>730</v>
      </c>
      <c r="W509" s="140">
        <f t="shared" si="42"/>
        <v>0</v>
      </c>
      <c r="X509" s="141">
        <f t="shared" si="43"/>
        <v>0</v>
      </c>
      <c r="Y509" s="141">
        <v>0</v>
      </c>
    </row>
    <row r="510" spans="1:25" ht="15" x14ac:dyDescent="0.2">
      <c r="A510" s="276" t="s">
        <v>1345</v>
      </c>
      <c r="B510" s="391" t="s">
        <v>611</v>
      </c>
      <c r="C510" s="391" t="s">
        <v>169</v>
      </c>
      <c r="D510" s="139" t="str">
        <f>VLOOKUP(C510,'Seznam HS - nemaš'!$A$1:$B$96,2,FALSE)</f>
        <v>411100</v>
      </c>
      <c r="E510" s="19" t="s">
        <v>1350</v>
      </c>
      <c r="F510" s="154" t="s">
        <v>552</v>
      </c>
      <c r="G510" s="154"/>
      <c r="H510" s="28">
        <f>+IF(ISBLANK(I510),0,VLOOKUP(I510,'8Příloha_2_ceník_pravid_úklid'!$B$9:$C$30,2,0))</f>
        <v>16</v>
      </c>
      <c r="I510" s="19" t="s">
        <v>6</v>
      </c>
      <c r="J510" s="155">
        <v>5.19</v>
      </c>
      <c r="K510" s="19" t="s">
        <v>51</v>
      </c>
      <c r="L510" s="146" t="s">
        <v>22</v>
      </c>
      <c r="M510" s="22" t="s">
        <v>49</v>
      </c>
      <c r="N510" s="24">
        <f>IF((VLOOKUP(I510,'8Příloha_2_ceník_pravid_úklid'!$B$9:$I$30,8,0))=0,VLOOKUP(I510,'8Příloha_2_ceník_pravid_úklid'!$B$9:$K$30,10,0),VLOOKUP(I510,'8Příloha_2_ceník_pravid_úklid'!$B$9:$I$30,8,0))</f>
        <v>0</v>
      </c>
      <c r="O510" s="20">
        <v>2</v>
      </c>
      <c r="P510" s="20">
        <v>1</v>
      </c>
      <c r="Q510" s="20">
        <v>2</v>
      </c>
      <c r="R510" s="20">
        <v>1</v>
      </c>
      <c r="S510" s="21">
        <f>NETWORKDAYS.INTL(DATE(2018,1,1),DATE(2018,12,31),1,{"2018/1/1";"2018/3/30";"2018/4/2";"2018/5/1";"2018/5/8";"2018/7/5";"2018/7/6";"2018/09/28";"2018/11/17";"2018/12/24";"2018/12/25";"2018/12/26"})</f>
        <v>250</v>
      </c>
      <c r="T510" s="21">
        <f t="shared" si="39"/>
        <v>115</v>
      </c>
      <c r="U510" s="21">
        <f t="shared" si="40"/>
        <v>365</v>
      </c>
      <c r="V510" s="311">
        <f t="shared" si="41"/>
        <v>730</v>
      </c>
      <c r="W510" s="140">
        <f t="shared" si="42"/>
        <v>0</v>
      </c>
      <c r="X510" s="141">
        <f t="shared" si="43"/>
        <v>0</v>
      </c>
      <c r="Y510" s="141">
        <v>0</v>
      </c>
    </row>
    <row r="511" spans="1:25" ht="15" x14ac:dyDescent="0.2">
      <c r="A511" s="276" t="s">
        <v>1345</v>
      </c>
      <c r="B511" s="391" t="s">
        <v>611</v>
      </c>
      <c r="C511" s="391" t="s">
        <v>169</v>
      </c>
      <c r="D511" s="139" t="str">
        <f>VLOOKUP(C511,'Seznam HS - nemaš'!$A$1:$B$96,2,FALSE)</f>
        <v>411100</v>
      </c>
      <c r="E511" s="19" t="s">
        <v>1351</v>
      </c>
      <c r="F511" s="154" t="s">
        <v>389</v>
      </c>
      <c r="G511" s="154"/>
      <c r="H511" s="28">
        <f>+IF(ISBLANK(I511),0,VLOOKUP(I511,'8Příloha_2_ceník_pravid_úklid'!$B$9:$C$30,2,0))</f>
        <v>17</v>
      </c>
      <c r="I511" s="19" t="s">
        <v>13</v>
      </c>
      <c r="J511" s="155">
        <v>3.83</v>
      </c>
      <c r="K511" s="19" t="s">
        <v>51</v>
      </c>
      <c r="L511" s="146" t="s">
        <v>537</v>
      </c>
      <c r="M511" s="22" t="s">
        <v>49</v>
      </c>
      <c r="N511" s="24">
        <f>IF((VLOOKUP(I511,'8Příloha_2_ceník_pravid_úklid'!$B$9:$I$30,8,0))=0,VLOOKUP(I511,'8Příloha_2_ceník_pravid_úklid'!$B$9:$K$30,10,0),VLOOKUP(I511,'8Příloha_2_ceník_pravid_úklid'!$B$9:$I$30,8,0))</f>
        <v>0</v>
      </c>
      <c r="O511" s="20">
        <v>1</v>
      </c>
      <c r="P511" s="20">
        <v>1</v>
      </c>
      <c r="Q511" s="20">
        <v>1</v>
      </c>
      <c r="R511" s="20">
        <v>1</v>
      </c>
      <c r="S511" s="21">
        <f>NETWORKDAYS.INTL(DATE(2018,1,1),DATE(2018,12,31),1,{"2018/1/1";"2018/3/30";"2018/4/2";"2018/5/1";"2018/5/8";"2018/7/5";"2018/7/6";"2018/09/28";"2018/11/17";"2018/12/24";"2018/12/25";"2018/12/26"})</f>
        <v>250</v>
      </c>
      <c r="T511" s="21">
        <f t="shared" si="39"/>
        <v>115</v>
      </c>
      <c r="U511" s="21">
        <f t="shared" si="40"/>
        <v>365</v>
      </c>
      <c r="V511" s="311">
        <f t="shared" si="41"/>
        <v>365</v>
      </c>
      <c r="W511" s="140">
        <f t="shared" si="42"/>
        <v>0</v>
      </c>
      <c r="X511" s="141">
        <f t="shared" si="43"/>
        <v>0</v>
      </c>
      <c r="Y511" s="141">
        <v>0</v>
      </c>
    </row>
    <row r="512" spans="1:25" ht="15" x14ac:dyDescent="0.2">
      <c r="A512" s="276" t="s">
        <v>1352</v>
      </c>
      <c r="B512" s="391" t="s">
        <v>611</v>
      </c>
      <c r="C512" s="391"/>
      <c r="D512" s="139">
        <f>VLOOKUP(C512,'Seznam HS - nemaš'!$A$1:$B$96,2,FALSE)</f>
        <v>0</v>
      </c>
      <c r="E512" s="19" t="s">
        <v>1353</v>
      </c>
      <c r="F512" s="154" t="s">
        <v>53</v>
      </c>
      <c r="G512" s="154"/>
      <c r="H512" s="28">
        <f>+IF(ISBLANK(I512),0,VLOOKUP(I512,'8Příloha_2_ceník_pravid_úklid'!$B$9:$C$30,2,0))</f>
        <v>6</v>
      </c>
      <c r="I512" s="19" t="s">
        <v>1</v>
      </c>
      <c r="J512" s="155">
        <v>64</v>
      </c>
      <c r="K512" s="19" t="s">
        <v>51</v>
      </c>
      <c r="L512" s="146" t="s">
        <v>22</v>
      </c>
      <c r="M512" s="22" t="s">
        <v>49</v>
      </c>
      <c r="N512" s="24">
        <f>IF((VLOOKUP(I512,'8Příloha_2_ceník_pravid_úklid'!$B$9:$I$30,8,0))=0,VLOOKUP(I512,'8Příloha_2_ceník_pravid_úklid'!$B$9:$K$30,10,0),VLOOKUP(I512,'8Příloha_2_ceník_pravid_úklid'!$B$9:$I$30,8,0))</f>
        <v>0</v>
      </c>
      <c r="O512" s="20">
        <v>2</v>
      </c>
      <c r="P512" s="20">
        <v>1</v>
      </c>
      <c r="Q512" s="20">
        <v>2</v>
      </c>
      <c r="R512" s="20">
        <v>1</v>
      </c>
      <c r="S512" s="21">
        <f>NETWORKDAYS.INTL(DATE(2018,1,1),DATE(2018,12,31),1,{"2018/1/1";"2018/3/30";"2018/4/2";"2018/5/1";"2018/5/8";"2018/7/5";"2018/7/6";"2018/09/28";"2018/11/17";"2018/12/24";"2018/12/25";"2018/12/26"})</f>
        <v>250</v>
      </c>
      <c r="T512" s="21">
        <f t="shared" si="39"/>
        <v>115</v>
      </c>
      <c r="U512" s="21">
        <f t="shared" si="40"/>
        <v>365</v>
      </c>
      <c r="V512" s="311">
        <f t="shared" si="41"/>
        <v>730</v>
      </c>
      <c r="W512" s="140">
        <f t="shared" si="42"/>
        <v>0</v>
      </c>
      <c r="X512" s="141">
        <f t="shared" si="43"/>
        <v>0</v>
      </c>
      <c r="Y512" s="141">
        <v>0</v>
      </c>
    </row>
    <row r="513" spans="1:25" ht="15" x14ac:dyDescent="0.2">
      <c r="A513" s="276" t="s">
        <v>1345</v>
      </c>
      <c r="B513" s="391" t="s">
        <v>611</v>
      </c>
      <c r="C513" s="391" t="s">
        <v>209</v>
      </c>
      <c r="D513" s="139" t="str">
        <f>VLOOKUP(C513,'Seznam HS - nemaš'!$A$1:$B$96,2,FALSE)</f>
        <v>438100</v>
      </c>
      <c r="E513" s="19" t="s">
        <v>1354</v>
      </c>
      <c r="F513" s="154" t="s">
        <v>1355</v>
      </c>
      <c r="G513" s="154"/>
      <c r="H513" s="28">
        <f>+IF(ISBLANK(I513),0,VLOOKUP(I513,'8Příloha_2_ceník_pravid_úklid'!$B$9:$C$30,2,0))</f>
        <v>1</v>
      </c>
      <c r="I513" s="19" t="s">
        <v>78</v>
      </c>
      <c r="J513" s="155">
        <v>16.32</v>
      </c>
      <c r="K513" s="19" t="s">
        <v>51</v>
      </c>
      <c r="L513" s="146" t="s">
        <v>22</v>
      </c>
      <c r="M513" s="22" t="s">
        <v>49</v>
      </c>
      <c r="N513" s="24">
        <f>IF((VLOOKUP(I513,'8Příloha_2_ceník_pravid_úklid'!$B$9:$I$30,8,0))=0,VLOOKUP(I513,'8Příloha_2_ceník_pravid_úklid'!$B$9:$K$30,10,0),VLOOKUP(I513,'8Příloha_2_ceník_pravid_úklid'!$B$9:$I$30,8,0))</f>
        <v>0</v>
      </c>
      <c r="O513" s="20">
        <v>2</v>
      </c>
      <c r="P513" s="20">
        <v>1</v>
      </c>
      <c r="Q513" s="20">
        <v>2</v>
      </c>
      <c r="R513" s="20">
        <v>1</v>
      </c>
      <c r="S513" s="21">
        <f>NETWORKDAYS.INTL(DATE(2018,1,1),DATE(2018,12,31),1,{"2018/1/1";"2018/3/30";"2018/4/2";"2018/5/1";"2018/5/8";"2018/7/5";"2018/7/6";"2018/09/28";"2018/11/17";"2018/12/24";"2018/12/25";"2018/12/26"})</f>
        <v>250</v>
      </c>
      <c r="T513" s="21">
        <f t="shared" si="39"/>
        <v>115</v>
      </c>
      <c r="U513" s="21">
        <f t="shared" si="40"/>
        <v>365</v>
      </c>
      <c r="V513" s="311">
        <f t="shared" si="41"/>
        <v>730</v>
      </c>
      <c r="W513" s="140">
        <f t="shared" si="42"/>
        <v>0</v>
      </c>
      <c r="X513" s="141">
        <f t="shared" si="43"/>
        <v>0</v>
      </c>
      <c r="Y513" s="141">
        <v>0</v>
      </c>
    </row>
    <row r="514" spans="1:25" ht="15" x14ac:dyDescent="0.2">
      <c r="A514" s="276" t="s">
        <v>697</v>
      </c>
      <c r="B514" s="391" t="s">
        <v>611</v>
      </c>
      <c r="C514" s="391" t="s">
        <v>209</v>
      </c>
      <c r="D514" s="139" t="str">
        <f>VLOOKUP(C514,'Seznam HS - nemaš'!$A$1:$B$96,2,FALSE)</f>
        <v>438100</v>
      </c>
      <c r="E514" s="19" t="s">
        <v>1356</v>
      </c>
      <c r="F514" s="154" t="s">
        <v>724</v>
      </c>
      <c r="G514" s="154"/>
      <c r="H514" s="28">
        <f>+IF(ISBLANK(I514),0,VLOOKUP(I514,'8Příloha_2_ceník_pravid_úklid'!$B$9:$C$30,2,0))</f>
        <v>7</v>
      </c>
      <c r="I514" s="19" t="s">
        <v>14</v>
      </c>
      <c r="J514" s="155">
        <v>3.96</v>
      </c>
      <c r="K514" s="19" t="s">
        <v>50</v>
      </c>
      <c r="L514" s="146" t="s">
        <v>22</v>
      </c>
      <c r="M514" s="22" t="s">
        <v>49</v>
      </c>
      <c r="N514" s="24">
        <f>IF((VLOOKUP(I514,'8Příloha_2_ceník_pravid_úklid'!$B$9:$I$30,8,0))=0,VLOOKUP(I514,'8Příloha_2_ceník_pravid_úklid'!$B$9:$K$30,10,0),VLOOKUP(I514,'8Příloha_2_ceník_pravid_úklid'!$B$9:$I$30,8,0))</f>
        <v>0</v>
      </c>
      <c r="O514" s="20">
        <v>2</v>
      </c>
      <c r="P514" s="20">
        <v>1</v>
      </c>
      <c r="Q514" s="20">
        <v>2</v>
      </c>
      <c r="R514" s="20">
        <v>1</v>
      </c>
      <c r="S514" s="21">
        <f>NETWORKDAYS.INTL(DATE(2018,1,1),DATE(2018,12,31),1,{"2018/1/1";"2018/3/30";"2018/4/2";"2018/5/1";"2018/5/8";"2018/7/5";"2018/7/6";"2018/09/28";"2018/11/17";"2018/12/24";"2018/12/25";"2018/12/26"})</f>
        <v>250</v>
      </c>
      <c r="T514" s="21">
        <f t="shared" si="39"/>
        <v>115</v>
      </c>
      <c r="U514" s="21">
        <f t="shared" si="40"/>
        <v>365</v>
      </c>
      <c r="V514" s="311">
        <f t="shared" si="41"/>
        <v>730</v>
      </c>
      <c r="W514" s="140">
        <f t="shared" si="42"/>
        <v>0</v>
      </c>
      <c r="X514" s="141">
        <f t="shared" si="43"/>
        <v>0</v>
      </c>
      <c r="Y514" s="141">
        <v>0</v>
      </c>
    </row>
    <row r="515" spans="1:25" ht="15" x14ac:dyDescent="0.2">
      <c r="A515" s="276" t="s">
        <v>697</v>
      </c>
      <c r="B515" s="391" t="s">
        <v>611</v>
      </c>
      <c r="C515" s="391" t="s">
        <v>169</v>
      </c>
      <c r="D515" s="139" t="str">
        <f>VLOOKUP(C515,'Seznam HS - nemaš'!$A$1:$B$96,2,FALSE)</f>
        <v>411100</v>
      </c>
      <c r="E515" s="19" t="s">
        <v>1357</v>
      </c>
      <c r="F515" s="154" t="s">
        <v>710</v>
      </c>
      <c r="G515" s="154" t="s">
        <v>1358</v>
      </c>
      <c r="H515" s="28">
        <f>+IF(ISBLANK(I515),0,VLOOKUP(I515,'8Příloha_2_ceník_pravid_úklid'!$B$9:$C$30,2,0))</f>
        <v>2</v>
      </c>
      <c r="I515" s="19" t="s">
        <v>2</v>
      </c>
      <c r="J515" s="155">
        <v>32.729999999999997</v>
      </c>
      <c r="K515" s="19" t="s">
        <v>51</v>
      </c>
      <c r="L515" s="146" t="s">
        <v>559</v>
      </c>
      <c r="M515" s="22" t="s">
        <v>49</v>
      </c>
      <c r="N515" s="24">
        <f>IF((VLOOKUP(I515,'8Příloha_2_ceník_pravid_úklid'!$B$9:$I$30,8,0))=0,VLOOKUP(I515,'8Příloha_2_ceník_pravid_úklid'!$B$9:$K$30,10,0),VLOOKUP(I515,'8Příloha_2_ceník_pravid_úklid'!$B$9:$I$30,8,0))</f>
        <v>0</v>
      </c>
      <c r="O515" s="20">
        <v>3</v>
      </c>
      <c r="P515" s="20">
        <v>1</v>
      </c>
      <c r="Q515" s="20">
        <v>3</v>
      </c>
      <c r="R515" s="20">
        <v>1</v>
      </c>
      <c r="S515" s="21">
        <f>NETWORKDAYS.INTL(DATE(2018,1,1),DATE(2018,12,31),1,{"2018/1/1";"2018/3/30";"2018/4/2";"2018/5/1";"2018/5/8";"2018/7/5";"2018/7/6";"2018/09/28";"2018/11/17";"2018/12/24";"2018/12/25";"2018/12/26"})</f>
        <v>250</v>
      </c>
      <c r="T515" s="21">
        <f t="shared" si="39"/>
        <v>115</v>
      </c>
      <c r="U515" s="21">
        <f t="shared" si="40"/>
        <v>365</v>
      </c>
      <c r="V515" s="311">
        <f t="shared" si="41"/>
        <v>1095</v>
      </c>
      <c r="W515" s="140">
        <f t="shared" si="42"/>
        <v>0</v>
      </c>
      <c r="X515" s="141">
        <f t="shared" si="43"/>
        <v>0</v>
      </c>
      <c r="Y515" s="141">
        <v>0</v>
      </c>
    </row>
    <row r="516" spans="1:25" ht="15" x14ac:dyDescent="0.2">
      <c r="A516" s="276" t="s">
        <v>697</v>
      </c>
      <c r="B516" s="391" t="s">
        <v>611</v>
      </c>
      <c r="C516" s="391" t="s">
        <v>169</v>
      </c>
      <c r="D516" s="139" t="str">
        <f>VLOOKUP(C516,'Seznam HS - nemaš'!$A$1:$B$96,2,FALSE)</f>
        <v>411100</v>
      </c>
      <c r="E516" s="19" t="s">
        <v>1359</v>
      </c>
      <c r="F516" s="154" t="s">
        <v>710</v>
      </c>
      <c r="G516" s="154"/>
      <c r="H516" s="28">
        <f>+IF(ISBLANK(I516),0,VLOOKUP(I516,'8Příloha_2_ceník_pravid_úklid'!$B$9:$C$30,2,0))</f>
        <v>2</v>
      </c>
      <c r="I516" s="19" t="s">
        <v>2</v>
      </c>
      <c r="J516" s="155">
        <v>17.510000000000002</v>
      </c>
      <c r="K516" s="19" t="s">
        <v>51</v>
      </c>
      <c r="L516" s="146" t="s">
        <v>22</v>
      </c>
      <c r="M516" s="22" t="s">
        <v>49</v>
      </c>
      <c r="N516" s="24">
        <f>IF((VLOOKUP(I516,'8Příloha_2_ceník_pravid_úklid'!$B$9:$I$30,8,0))=0,VLOOKUP(I516,'8Příloha_2_ceník_pravid_úklid'!$B$9:$K$30,10,0),VLOOKUP(I516,'8Příloha_2_ceník_pravid_úklid'!$B$9:$I$30,8,0))</f>
        <v>0</v>
      </c>
      <c r="O516" s="20">
        <v>2</v>
      </c>
      <c r="P516" s="20">
        <v>1</v>
      </c>
      <c r="Q516" s="20">
        <v>2</v>
      </c>
      <c r="R516" s="20">
        <v>1</v>
      </c>
      <c r="S516" s="21">
        <f>NETWORKDAYS.INTL(DATE(2018,1,1),DATE(2018,12,31),1,{"2018/1/1";"2018/3/30";"2018/4/2";"2018/5/1";"2018/5/8";"2018/7/5";"2018/7/6";"2018/09/28";"2018/11/17";"2018/12/24";"2018/12/25";"2018/12/26"})</f>
        <v>250</v>
      </c>
      <c r="T516" s="21">
        <f t="shared" si="39"/>
        <v>115</v>
      </c>
      <c r="U516" s="21">
        <f t="shared" si="40"/>
        <v>365</v>
      </c>
      <c r="V516" s="311">
        <f t="shared" si="41"/>
        <v>730</v>
      </c>
      <c r="W516" s="140">
        <f t="shared" si="42"/>
        <v>0</v>
      </c>
      <c r="X516" s="141">
        <f t="shared" si="43"/>
        <v>0</v>
      </c>
      <c r="Y516" s="141">
        <v>0</v>
      </c>
    </row>
    <row r="517" spans="1:25" ht="15" x14ac:dyDescent="0.2">
      <c r="A517" s="276" t="s">
        <v>697</v>
      </c>
      <c r="B517" s="391" t="s">
        <v>611</v>
      </c>
      <c r="C517" s="391" t="s">
        <v>169</v>
      </c>
      <c r="D517" s="139" t="str">
        <f>VLOOKUP(C517,'Seznam HS - nemaš'!$A$1:$B$96,2,FALSE)</f>
        <v>411100</v>
      </c>
      <c r="E517" s="19" t="s">
        <v>1360</v>
      </c>
      <c r="F517" s="154" t="s">
        <v>710</v>
      </c>
      <c r="G517" s="154"/>
      <c r="H517" s="28">
        <f>+IF(ISBLANK(I517),0,VLOOKUP(I517,'8Příloha_2_ceník_pravid_úklid'!$B$9:$C$30,2,0))</f>
        <v>2</v>
      </c>
      <c r="I517" s="19" t="s">
        <v>2</v>
      </c>
      <c r="J517" s="155">
        <v>13.42</v>
      </c>
      <c r="K517" s="19" t="s">
        <v>51</v>
      </c>
      <c r="L517" s="146" t="s">
        <v>22</v>
      </c>
      <c r="M517" s="22" t="s">
        <v>49</v>
      </c>
      <c r="N517" s="24">
        <f>IF((VLOOKUP(I517,'8Příloha_2_ceník_pravid_úklid'!$B$9:$I$30,8,0))=0,VLOOKUP(I517,'8Příloha_2_ceník_pravid_úklid'!$B$9:$K$30,10,0),VLOOKUP(I517,'8Příloha_2_ceník_pravid_úklid'!$B$9:$I$30,8,0))</f>
        <v>0</v>
      </c>
      <c r="O517" s="20">
        <v>2</v>
      </c>
      <c r="P517" s="20">
        <v>1</v>
      </c>
      <c r="Q517" s="20">
        <v>2</v>
      </c>
      <c r="R517" s="20">
        <v>1</v>
      </c>
      <c r="S517" s="21">
        <f>NETWORKDAYS.INTL(DATE(2018,1,1),DATE(2018,12,31),1,{"2018/1/1";"2018/3/30";"2018/4/2";"2018/5/1";"2018/5/8";"2018/7/5";"2018/7/6";"2018/09/28";"2018/11/17";"2018/12/24";"2018/12/25";"2018/12/26"})</f>
        <v>250</v>
      </c>
      <c r="T517" s="21">
        <f t="shared" si="39"/>
        <v>115</v>
      </c>
      <c r="U517" s="21">
        <f t="shared" si="40"/>
        <v>365</v>
      </c>
      <c r="V517" s="311">
        <f t="shared" si="41"/>
        <v>730</v>
      </c>
      <c r="W517" s="140">
        <f t="shared" si="42"/>
        <v>0</v>
      </c>
      <c r="X517" s="141">
        <f t="shared" si="43"/>
        <v>0</v>
      </c>
      <c r="Y517" s="141">
        <v>0</v>
      </c>
    </row>
    <row r="518" spans="1:25" ht="15" x14ac:dyDescent="0.2">
      <c r="A518" s="276" t="s">
        <v>1345</v>
      </c>
      <c r="B518" s="391" t="s">
        <v>611</v>
      </c>
      <c r="C518" s="391" t="s">
        <v>209</v>
      </c>
      <c r="D518" s="139" t="str">
        <f>VLOOKUP(C518,'Seznam HS - nemaš'!$A$1:$B$96,2,FALSE)</f>
        <v>438100</v>
      </c>
      <c r="E518" s="19" t="s">
        <v>1361</v>
      </c>
      <c r="F518" s="154" t="s">
        <v>1362</v>
      </c>
      <c r="G518" s="154" t="s">
        <v>1363</v>
      </c>
      <c r="H518" s="28">
        <f>+IF(ISBLANK(I518),0,VLOOKUP(I518,'8Příloha_2_ceník_pravid_úklid'!$B$9:$C$30,2,0))</f>
        <v>1</v>
      </c>
      <c r="I518" s="19" t="s">
        <v>78</v>
      </c>
      <c r="J518" s="155">
        <v>26.62</v>
      </c>
      <c r="K518" s="19" t="s">
        <v>51</v>
      </c>
      <c r="L518" s="146" t="s">
        <v>22</v>
      </c>
      <c r="M518" s="22" t="s">
        <v>49</v>
      </c>
      <c r="N518" s="24">
        <f>IF((VLOOKUP(I518,'8Příloha_2_ceník_pravid_úklid'!$B$9:$I$30,8,0))=0,VLOOKUP(I518,'8Příloha_2_ceník_pravid_úklid'!$B$9:$K$30,10,0),VLOOKUP(I518,'8Příloha_2_ceník_pravid_úklid'!$B$9:$I$30,8,0))</f>
        <v>0</v>
      </c>
      <c r="O518" s="20">
        <v>2</v>
      </c>
      <c r="P518" s="20">
        <v>1</v>
      </c>
      <c r="Q518" s="20">
        <v>2</v>
      </c>
      <c r="R518" s="20">
        <v>1</v>
      </c>
      <c r="S518" s="21">
        <f>NETWORKDAYS.INTL(DATE(2018,1,1),DATE(2018,12,31),1,{"2018/1/1";"2018/3/30";"2018/4/2";"2018/5/1";"2018/5/8";"2018/7/5";"2018/7/6";"2018/09/28";"2018/11/17";"2018/12/24";"2018/12/25";"2018/12/26"})</f>
        <v>250</v>
      </c>
      <c r="T518" s="21">
        <f t="shared" ref="T518:T581" si="44">U518-S518</f>
        <v>115</v>
      </c>
      <c r="U518" s="21">
        <f t="shared" ref="U518:U581" si="45">_xlfn.DAYS("1.1.2019","1.1.2018")</f>
        <v>365</v>
      </c>
      <c r="V518" s="311">
        <f t="shared" ref="V518:V581" si="46">ROUND(O518*P518*S518+Q518*R518*T518,2)</f>
        <v>730</v>
      </c>
      <c r="W518" s="140">
        <f t="shared" ref="W518:W581" si="47">ROUND(IF(N518="neoceňuje se",+J518*0*V518,J518*N518*V518),2)</f>
        <v>0</v>
      </c>
      <c r="X518" s="141">
        <f t="shared" ref="X518:Y581" si="48">ROUND(W518*1.21,2)</f>
        <v>0</v>
      </c>
      <c r="Y518" s="141">
        <v>0</v>
      </c>
    </row>
    <row r="519" spans="1:25" ht="15" x14ac:dyDescent="0.2">
      <c r="A519" s="276" t="s">
        <v>1345</v>
      </c>
      <c r="B519" s="391" t="s">
        <v>611</v>
      </c>
      <c r="C519" s="391" t="s">
        <v>209</v>
      </c>
      <c r="D519" s="139" t="str">
        <f>VLOOKUP(C519,'Seznam HS - nemaš'!$A$1:$B$96,2,FALSE)</f>
        <v>438100</v>
      </c>
      <c r="E519" s="19" t="s">
        <v>1364</v>
      </c>
      <c r="F519" s="154" t="s">
        <v>724</v>
      </c>
      <c r="G519" s="154"/>
      <c r="H519" s="28">
        <f>+IF(ISBLANK(I519),0,VLOOKUP(I519,'8Příloha_2_ceník_pravid_úklid'!$B$9:$C$30,2,0))</f>
        <v>7</v>
      </c>
      <c r="I519" s="19" t="s">
        <v>14</v>
      </c>
      <c r="J519" s="155">
        <v>2.76</v>
      </c>
      <c r="K519" s="19" t="s">
        <v>50</v>
      </c>
      <c r="L519" s="146" t="s">
        <v>22</v>
      </c>
      <c r="M519" s="22" t="s">
        <v>49</v>
      </c>
      <c r="N519" s="24">
        <f>IF((VLOOKUP(I519,'8Příloha_2_ceník_pravid_úklid'!$B$9:$I$30,8,0))=0,VLOOKUP(I519,'8Příloha_2_ceník_pravid_úklid'!$B$9:$K$30,10,0),VLOOKUP(I519,'8Příloha_2_ceník_pravid_úklid'!$B$9:$I$30,8,0))</f>
        <v>0</v>
      </c>
      <c r="O519" s="20">
        <v>2</v>
      </c>
      <c r="P519" s="20">
        <v>1</v>
      </c>
      <c r="Q519" s="20">
        <v>2</v>
      </c>
      <c r="R519" s="20">
        <v>1</v>
      </c>
      <c r="S519" s="21">
        <f>NETWORKDAYS.INTL(DATE(2018,1,1),DATE(2018,12,31),1,{"2018/1/1";"2018/3/30";"2018/4/2";"2018/5/1";"2018/5/8";"2018/7/5";"2018/7/6";"2018/09/28";"2018/11/17";"2018/12/24";"2018/12/25";"2018/12/26"})</f>
        <v>250</v>
      </c>
      <c r="T519" s="21">
        <f t="shared" si="44"/>
        <v>115</v>
      </c>
      <c r="U519" s="21">
        <f t="shared" si="45"/>
        <v>365</v>
      </c>
      <c r="V519" s="311">
        <f t="shared" si="46"/>
        <v>730</v>
      </c>
      <c r="W519" s="140">
        <f t="shared" si="47"/>
        <v>0</v>
      </c>
      <c r="X519" s="141">
        <f t="shared" si="48"/>
        <v>0</v>
      </c>
      <c r="Y519" s="141">
        <v>0</v>
      </c>
    </row>
    <row r="520" spans="1:25" ht="15" x14ac:dyDescent="0.2">
      <c r="A520" s="276" t="s">
        <v>1345</v>
      </c>
      <c r="B520" s="391" t="s">
        <v>611</v>
      </c>
      <c r="C520" s="391" t="s">
        <v>209</v>
      </c>
      <c r="D520" s="139" t="str">
        <f>VLOOKUP(C520,'Seznam HS - nemaš'!$A$1:$B$96,2,FALSE)</f>
        <v>438100</v>
      </c>
      <c r="E520" s="19" t="s">
        <v>1365</v>
      </c>
      <c r="F520" s="154" t="s">
        <v>567</v>
      </c>
      <c r="G520" s="154" t="s">
        <v>1272</v>
      </c>
      <c r="H520" s="28">
        <f>+IF(ISBLANK(I520),0,VLOOKUP(I520,'8Příloha_2_ceník_pravid_úklid'!$B$9:$C$30,2,0))</f>
        <v>1</v>
      </c>
      <c r="I520" s="19" t="s">
        <v>78</v>
      </c>
      <c r="J520" s="155">
        <v>12.2</v>
      </c>
      <c r="K520" s="19" t="s">
        <v>51</v>
      </c>
      <c r="L520" s="146" t="s">
        <v>22</v>
      </c>
      <c r="M520" s="22" t="s">
        <v>49</v>
      </c>
      <c r="N520" s="24">
        <f>IF((VLOOKUP(I520,'8Příloha_2_ceník_pravid_úklid'!$B$9:$I$30,8,0))=0,VLOOKUP(I520,'8Příloha_2_ceník_pravid_úklid'!$B$9:$K$30,10,0),VLOOKUP(I520,'8Příloha_2_ceník_pravid_úklid'!$B$9:$I$30,8,0))</f>
        <v>0</v>
      </c>
      <c r="O520" s="20">
        <v>2</v>
      </c>
      <c r="P520" s="20">
        <v>1</v>
      </c>
      <c r="Q520" s="20">
        <v>2</v>
      </c>
      <c r="R520" s="20">
        <v>1</v>
      </c>
      <c r="S520" s="21">
        <f>NETWORKDAYS.INTL(DATE(2018,1,1),DATE(2018,12,31),1,{"2018/1/1";"2018/3/30";"2018/4/2";"2018/5/1";"2018/5/8";"2018/7/5";"2018/7/6";"2018/09/28";"2018/11/17";"2018/12/24";"2018/12/25";"2018/12/26"})</f>
        <v>250</v>
      </c>
      <c r="T520" s="21">
        <f t="shared" si="44"/>
        <v>115</v>
      </c>
      <c r="U520" s="21">
        <f t="shared" si="45"/>
        <v>365</v>
      </c>
      <c r="V520" s="311">
        <f t="shared" si="46"/>
        <v>730</v>
      </c>
      <c r="W520" s="140">
        <f t="shared" si="47"/>
        <v>0</v>
      </c>
      <c r="X520" s="141">
        <f t="shared" si="48"/>
        <v>0</v>
      </c>
      <c r="Y520" s="141">
        <v>0</v>
      </c>
    </row>
    <row r="521" spans="1:25" ht="15" x14ac:dyDescent="0.2">
      <c r="A521" s="276" t="s">
        <v>1345</v>
      </c>
      <c r="B521" s="391" t="s">
        <v>611</v>
      </c>
      <c r="C521" s="391" t="s">
        <v>209</v>
      </c>
      <c r="D521" s="139" t="str">
        <f>VLOOKUP(C521,'Seznam HS - nemaš'!$A$1:$B$96,2,FALSE)</f>
        <v>438100</v>
      </c>
      <c r="E521" s="19" t="s">
        <v>1366</v>
      </c>
      <c r="F521" s="154" t="s">
        <v>724</v>
      </c>
      <c r="G521" s="154"/>
      <c r="H521" s="28">
        <f>+IF(ISBLANK(I521),0,VLOOKUP(I521,'8Příloha_2_ceník_pravid_úklid'!$B$9:$C$30,2,0))</f>
        <v>7</v>
      </c>
      <c r="I521" s="19" t="s">
        <v>14</v>
      </c>
      <c r="J521" s="155">
        <v>2.76</v>
      </c>
      <c r="K521" s="19" t="s">
        <v>50</v>
      </c>
      <c r="L521" s="146" t="s">
        <v>22</v>
      </c>
      <c r="M521" s="22" t="s">
        <v>49</v>
      </c>
      <c r="N521" s="24">
        <f>IF((VLOOKUP(I521,'8Příloha_2_ceník_pravid_úklid'!$B$9:$I$30,8,0))=0,VLOOKUP(I521,'8Příloha_2_ceník_pravid_úklid'!$B$9:$K$30,10,0),VLOOKUP(I521,'8Příloha_2_ceník_pravid_úklid'!$B$9:$I$30,8,0))</f>
        <v>0</v>
      </c>
      <c r="O521" s="20">
        <v>2</v>
      </c>
      <c r="P521" s="20">
        <v>1</v>
      </c>
      <c r="Q521" s="20">
        <v>2</v>
      </c>
      <c r="R521" s="20">
        <v>1</v>
      </c>
      <c r="S521" s="21">
        <f>NETWORKDAYS.INTL(DATE(2018,1,1),DATE(2018,12,31),1,{"2018/1/1";"2018/3/30";"2018/4/2";"2018/5/1";"2018/5/8";"2018/7/5";"2018/7/6";"2018/09/28";"2018/11/17";"2018/12/24";"2018/12/25";"2018/12/26"})</f>
        <v>250</v>
      </c>
      <c r="T521" s="21">
        <f t="shared" si="44"/>
        <v>115</v>
      </c>
      <c r="U521" s="21">
        <f t="shared" si="45"/>
        <v>365</v>
      </c>
      <c r="V521" s="311">
        <f t="shared" si="46"/>
        <v>730</v>
      </c>
      <c r="W521" s="140">
        <f t="shared" si="47"/>
        <v>0</v>
      </c>
      <c r="X521" s="141">
        <f t="shared" si="48"/>
        <v>0</v>
      </c>
      <c r="Y521" s="141">
        <v>0</v>
      </c>
    </row>
    <row r="522" spans="1:25" ht="15" x14ac:dyDescent="0.2">
      <c r="A522" s="276" t="s">
        <v>697</v>
      </c>
      <c r="B522" s="391" t="s">
        <v>611</v>
      </c>
      <c r="C522" s="391" t="s">
        <v>169</v>
      </c>
      <c r="D522" s="139" t="str">
        <f>VLOOKUP(C522,'Seznam HS - nemaš'!$A$1:$B$96,2,FALSE)</f>
        <v>411100</v>
      </c>
      <c r="E522" s="19" t="s">
        <v>1367</v>
      </c>
      <c r="F522" s="154" t="s">
        <v>710</v>
      </c>
      <c r="G522" s="154" t="s">
        <v>1368</v>
      </c>
      <c r="H522" s="28">
        <f>+IF(ISBLANK(I522),0,VLOOKUP(I522,'8Příloha_2_ceník_pravid_úklid'!$B$9:$C$30,2,0))</f>
        <v>2</v>
      </c>
      <c r="I522" s="19" t="s">
        <v>2</v>
      </c>
      <c r="J522" s="155">
        <v>18.34</v>
      </c>
      <c r="K522" s="19" t="s">
        <v>51</v>
      </c>
      <c r="L522" s="146" t="s">
        <v>22</v>
      </c>
      <c r="M522" s="22" t="s">
        <v>49</v>
      </c>
      <c r="N522" s="24">
        <f>IF((VLOOKUP(I522,'8Příloha_2_ceník_pravid_úklid'!$B$9:$I$30,8,0))=0,VLOOKUP(I522,'8Příloha_2_ceník_pravid_úklid'!$B$9:$K$30,10,0),VLOOKUP(I522,'8Příloha_2_ceník_pravid_úklid'!$B$9:$I$30,8,0))</f>
        <v>0</v>
      </c>
      <c r="O522" s="20">
        <v>2</v>
      </c>
      <c r="P522" s="20">
        <v>1</v>
      </c>
      <c r="Q522" s="20">
        <v>2</v>
      </c>
      <c r="R522" s="20">
        <v>1</v>
      </c>
      <c r="S522" s="21">
        <f>NETWORKDAYS.INTL(DATE(2018,1,1),DATE(2018,12,31),1,{"2018/1/1";"2018/3/30";"2018/4/2";"2018/5/1";"2018/5/8";"2018/7/5";"2018/7/6";"2018/09/28";"2018/11/17";"2018/12/24";"2018/12/25";"2018/12/26"})</f>
        <v>250</v>
      </c>
      <c r="T522" s="21">
        <f t="shared" si="44"/>
        <v>115</v>
      </c>
      <c r="U522" s="21">
        <f t="shared" si="45"/>
        <v>365</v>
      </c>
      <c r="V522" s="311">
        <f t="shared" si="46"/>
        <v>730</v>
      </c>
      <c r="W522" s="140">
        <f t="shared" si="47"/>
        <v>0</v>
      </c>
      <c r="X522" s="141">
        <f t="shared" si="48"/>
        <v>0</v>
      </c>
      <c r="Y522" s="141">
        <v>0</v>
      </c>
    </row>
    <row r="523" spans="1:25" ht="15" x14ac:dyDescent="0.2">
      <c r="A523" s="276" t="s">
        <v>697</v>
      </c>
      <c r="B523" s="391" t="s">
        <v>611</v>
      </c>
      <c r="C523" s="391" t="s">
        <v>169</v>
      </c>
      <c r="D523" s="139" t="str">
        <f>VLOOKUP(C523,'Seznam HS - nemaš'!$A$1:$B$96,2,FALSE)</f>
        <v>411100</v>
      </c>
      <c r="E523" s="19" t="s">
        <v>1369</v>
      </c>
      <c r="F523" s="154" t="s">
        <v>612</v>
      </c>
      <c r="G523" s="398">
        <v>1</v>
      </c>
      <c r="H523" s="28">
        <f>+IF(ISBLANK(I523),0,VLOOKUP(I523,'8Příloha_2_ceník_pravid_úklid'!$B$9:$C$30,2,0))</f>
        <v>2</v>
      </c>
      <c r="I523" s="19" t="s">
        <v>2</v>
      </c>
      <c r="J523" s="155">
        <v>16.7</v>
      </c>
      <c r="K523" s="19" t="s">
        <v>51</v>
      </c>
      <c r="L523" s="146" t="s">
        <v>22</v>
      </c>
      <c r="M523" s="22" t="s">
        <v>49</v>
      </c>
      <c r="N523" s="24">
        <f>IF((VLOOKUP(I523,'8Příloha_2_ceník_pravid_úklid'!$B$9:$I$30,8,0))=0,VLOOKUP(I523,'8Příloha_2_ceník_pravid_úklid'!$B$9:$K$30,10,0),VLOOKUP(I523,'8Příloha_2_ceník_pravid_úklid'!$B$9:$I$30,8,0))</f>
        <v>0</v>
      </c>
      <c r="O523" s="20">
        <v>2</v>
      </c>
      <c r="P523" s="20">
        <v>1</v>
      </c>
      <c r="Q523" s="20">
        <v>2</v>
      </c>
      <c r="R523" s="20">
        <v>1</v>
      </c>
      <c r="S523" s="21">
        <f>NETWORKDAYS.INTL(DATE(2018,1,1),DATE(2018,12,31),1,{"2018/1/1";"2018/3/30";"2018/4/2";"2018/5/1";"2018/5/8";"2018/7/5";"2018/7/6";"2018/09/28";"2018/11/17";"2018/12/24";"2018/12/25";"2018/12/26"})</f>
        <v>250</v>
      </c>
      <c r="T523" s="21">
        <f t="shared" si="44"/>
        <v>115</v>
      </c>
      <c r="U523" s="21">
        <f t="shared" si="45"/>
        <v>365</v>
      </c>
      <c r="V523" s="311">
        <f t="shared" si="46"/>
        <v>730</v>
      </c>
      <c r="W523" s="140">
        <f t="shared" si="47"/>
        <v>0</v>
      </c>
      <c r="X523" s="141">
        <f t="shared" si="48"/>
        <v>0</v>
      </c>
      <c r="Y523" s="141">
        <v>0</v>
      </c>
    </row>
    <row r="524" spans="1:25" ht="15" x14ac:dyDescent="0.2">
      <c r="A524" s="276" t="s">
        <v>697</v>
      </c>
      <c r="B524" s="391" t="s">
        <v>611</v>
      </c>
      <c r="C524" s="391" t="s">
        <v>169</v>
      </c>
      <c r="D524" s="139" t="str">
        <f>VLOOKUP(C524,'Seznam HS - nemaš'!$A$1:$B$96,2,FALSE)</f>
        <v>411100</v>
      </c>
      <c r="E524" s="19" t="s">
        <v>1370</v>
      </c>
      <c r="F524" s="154" t="s">
        <v>612</v>
      </c>
      <c r="G524" s="398">
        <v>2</v>
      </c>
      <c r="H524" s="28">
        <f>+IF(ISBLANK(I524),0,VLOOKUP(I524,'8Příloha_2_ceník_pravid_úklid'!$B$9:$C$30,2,0))</f>
        <v>2</v>
      </c>
      <c r="I524" s="19" t="s">
        <v>2</v>
      </c>
      <c r="J524" s="155">
        <v>14.03</v>
      </c>
      <c r="K524" s="19" t="s">
        <v>51</v>
      </c>
      <c r="L524" s="146" t="s">
        <v>22</v>
      </c>
      <c r="M524" s="22" t="s">
        <v>49</v>
      </c>
      <c r="N524" s="24">
        <f>IF((VLOOKUP(I524,'8Příloha_2_ceník_pravid_úklid'!$B$9:$I$30,8,0))=0,VLOOKUP(I524,'8Příloha_2_ceník_pravid_úklid'!$B$9:$K$30,10,0),VLOOKUP(I524,'8Příloha_2_ceník_pravid_úklid'!$B$9:$I$30,8,0))</f>
        <v>0</v>
      </c>
      <c r="O524" s="20">
        <v>2</v>
      </c>
      <c r="P524" s="20">
        <v>1</v>
      </c>
      <c r="Q524" s="20">
        <v>2</v>
      </c>
      <c r="R524" s="20">
        <v>1</v>
      </c>
      <c r="S524" s="21">
        <f>NETWORKDAYS.INTL(DATE(2018,1,1),DATE(2018,12,31),1,{"2018/1/1";"2018/3/30";"2018/4/2";"2018/5/1";"2018/5/8";"2018/7/5";"2018/7/6";"2018/09/28";"2018/11/17";"2018/12/24";"2018/12/25";"2018/12/26"})</f>
        <v>250</v>
      </c>
      <c r="T524" s="21">
        <f t="shared" si="44"/>
        <v>115</v>
      </c>
      <c r="U524" s="21">
        <f t="shared" si="45"/>
        <v>365</v>
      </c>
      <c r="V524" s="311">
        <f t="shared" si="46"/>
        <v>730</v>
      </c>
      <c r="W524" s="140">
        <f t="shared" si="47"/>
        <v>0</v>
      </c>
      <c r="X524" s="141">
        <f t="shared" si="48"/>
        <v>0</v>
      </c>
      <c r="Y524" s="141">
        <v>0</v>
      </c>
    </row>
    <row r="525" spans="1:25" ht="15" x14ac:dyDescent="0.2">
      <c r="A525" s="276" t="s">
        <v>697</v>
      </c>
      <c r="B525" s="391" t="s">
        <v>611</v>
      </c>
      <c r="C525" s="391" t="s">
        <v>169</v>
      </c>
      <c r="D525" s="139" t="str">
        <f>VLOOKUP(C525,'Seznam HS - nemaš'!$A$1:$B$96,2,FALSE)</f>
        <v>411100</v>
      </c>
      <c r="E525" s="19" t="s">
        <v>1371</v>
      </c>
      <c r="F525" s="154" t="s">
        <v>567</v>
      </c>
      <c r="G525" s="154" t="s">
        <v>1272</v>
      </c>
      <c r="H525" s="28">
        <f>+IF(ISBLANK(I525),0,VLOOKUP(I525,'8Příloha_2_ceník_pravid_úklid'!$B$9:$C$30,2,0))</f>
        <v>1</v>
      </c>
      <c r="I525" s="19" t="s">
        <v>78</v>
      </c>
      <c r="J525" s="155">
        <v>13.09</v>
      </c>
      <c r="K525" s="19" t="s">
        <v>51</v>
      </c>
      <c r="L525" s="146" t="s">
        <v>537</v>
      </c>
      <c r="M525" s="22" t="s">
        <v>49</v>
      </c>
      <c r="N525" s="24">
        <f>IF((VLOOKUP(I525,'8Příloha_2_ceník_pravid_úklid'!$B$9:$I$30,8,0))=0,VLOOKUP(I525,'8Příloha_2_ceník_pravid_úklid'!$B$9:$K$30,10,0),VLOOKUP(I525,'8Příloha_2_ceník_pravid_úklid'!$B$9:$I$30,8,0))</f>
        <v>0</v>
      </c>
      <c r="O525" s="20">
        <v>1</v>
      </c>
      <c r="P525" s="20">
        <v>1</v>
      </c>
      <c r="Q525" s="20">
        <v>1</v>
      </c>
      <c r="R525" s="20">
        <v>1</v>
      </c>
      <c r="S525" s="21">
        <f>NETWORKDAYS.INTL(DATE(2018,1,1),DATE(2018,12,31),1,{"2018/1/1";"2018/3/30";"2018/4/2";"2018/5/1";"2018/5/8";"2018/7/5";"2018/7/6";"2018/09/28";"2018/11/17";"2018/12/24";"2018/12/25";"2018/12/26"})</f>
        <v>250</v>
      </c>
      <c r="T525" s="21">
        <f t="shared" si="44"/>
        <v>115</v>
      </c>
      <c r="U525" s="21">
        <f t="shared" si="45"/>
        <v>365</v>
      </c>
      <c r="V525" s="311">
        <f t="shared" si="46"/>
        <v>365</v>
      </c>
      <c r="W525" s="140">
        <f t="shared" si="47"/>
        <v>0</v>
      </c>
      <c r="X525" s="141">
        <f t="shared" si="48"/>
        <v>0</v>
      </c>
      <c r="Y525" s="141">
        <v>0</v>
      </c>
    </row>
    <row r="526" spans="1:25" ht="15" x14ac:dyDescent="0.2">
      <c r="A526" s="276" t="s">
        <v>697</v>
      </c>
      <c r="B526" s="391" t="s">
        <v>611</v>
      </c>
      <c r="C526" s="391" t="s">
        <v>169</v>
      </c>
      <c r="D526" s="139" t="str">
        <f>VLOOKUP(C526,'Seznam HS - nemaš'!$A$1:$B$96,2,FALSE)</f>
        <v>411100</v>
      </c>
      <c r="E526" s="19" t="s">
        <v>1372</v>
      </c>
      <c r="F526" s="154" t="s">
        <v>724</v>
      </c>
      <c r="G526" s="154"/>
      <c r="H526" s="28">
        <f>+IF(ISBLANK(I526),0,VLOOKUP(I526,'8Příloha_2_ceník_pravid_úklid'!$B$9:$C$30,2,0))</f>
        <v>7</v>
      </c>
      <c r="I526" s="19" t="s">
        <v>14</v>
      </c>
      <c r="J526" s="155">
        <v>2.91</v>
      </c>
      <c r="K526" s="19" t="s">
        <v>50</v>
      </c>
      <c r="L526" s="146" t="s">
        <v>22</v>
      </c>
      <c r="M526" s="22" t="s">
        <v>49</v>
      </c>
      <c r="N526" s="24">
        <f>IF((VLOOKUP(I526,'8Příloha_2_ceník_pravid_úklid'!$B$9:$I$30,8,0))=0,VLOOKUP(I526,'8Příloha_2_ceník_pravid_úklid'!$B$9:$K$30,10,0),VLOOKUP(I526,'8Příloha_2_ceník_pravid_úklid'!$B$9:$I$30,8,0))</f>
        <v>0</v>
      </c>
      <c r="O526" s="20">
        <v>2</v>
      </c>
      <c r="P526" s="20">
        <v>1</v>
      </c>
      <c r="Q526" s="20">
        <v>2</v>
      </c>
      <c r="R526" s="20">
        <v>1</v>
      </c>
      <c r="S526" s="21">
        <f>NETWORKDAYS.INTL(DATE(2018,1,1),DATE(2018,12,31),1,{"2018/1/1";"2018/3/30";"2018/4/2";"2018/5/1";"2018/5/8";"2018/7/5";"2018/7/6";"2018/09/28";"2018/11/17";"2018/12/24";"2018/12/25";"2018/12/26"})</f>
        <v>250</v>
      </c>
      <c r="T526" s="21">
        <f t="shared" si="44"/>
        <v>115</v>
      </c>
      <c r="U526" s="21">
        <f t="shared" si="45"/>
        <v>365</v>
      </c>
      <c r="V526" s="311">
        <f t="shared" si="46"/>
        <v>730</v>
      </c>
      <c r="W526" s="140">
        <f t="shared" si="47"/>
        <v>0</v>
      </c>
      <c r="X526" s="141">
        <f t="shared" si="48"/>
        <v>0</v>
      </c>
      <c r="Y526" s="141">
        <v>0</v>
      </c>
    </row>
    <row r="527" spans="1:25" ht="15" x14ac:dyDescent="0.2">
      <c r="A527" s="276" t="s">
        <v>697</v>
      </c>
      <c r="B527" s="391" t="s">
        <v>611</v>
      </c>
      <c r="C527" s="391" t="s">
        <v>169</v>
      </c>
      <c r="D527" s="139" t="str">
        <f>VLOOKUP(C527,'Seznam HS - nemaš'!$A$1:$B$96,2,FALSE)</f>
        <v>411100</v>
      </c>
      <c r="E527" s="19" t="s">
        <v>1373</v>
      </c>
      <c r="F527" s="154" t="s">
        <v>567</v>
      </c>
      <c r="G527" s="154" t="s">
        <v>1363</v>
      </c>
      <c r="H527" s="28">
        <f>+IF(ISBLANK(I527),0,VLOOKUP(I527,'8Příloha_2_ceník_pravid_úklid'!$B$9:$C$30,2,0))</f>
        <v>1</v>
      </c>
      <c r="I527" s="19" t="s">
        <v>78</v>
      </c>
      <c r="J527" s="155">
        <v>27.43</v>
      </c>
      <c r="K527" s="19" t="s">
        <v>51</v>
      </c>
      <c r="L527" s="146" t="s">
        <v>537</v>
      </c>
      <c r="M527" s="22" t="s">
        <v>49</v>
      </c>
      <c r="N527" s="24">
        <f>IF((VLOOKUP(I527,'8Příloha_2_ceník_pravid_úklid'!$B$9:$I$30,8,0))=0,VLOOKUP(I527,'8Příloha_2_ceník_pravid_úklid'!$B$9:$K$30,10,0),VLOOKUP(I527,'8Příloha_2_ceník_pravid_úklid'!$B$9:$I$30,8,0))</f>
        <v>0</v>
      </c>
      <c r="O527" s="20">
        <v>1</v>
      </c>
      <c r="P527" s="20">
        <v>1</v>
      </c>
      <c r="Q527" s="20">
        <v>1</v>
      </c>
      <c r="R527" s="20">
        <v>1</v>
      </c>
      <c r="S527" s="21">
        <f>NETWORKDAYS.INTL(DATE(2018,1,1),DATE(2018,12,31),1,{"2018/1/1";"2018/3/30";"2018/4/2";"2018/5/1";"2018/5/8";"2018/7/5";"2018/7/6";"2018/09/28";"2018/11/17";"2018/12/24";"2018/12/25";"2018/12/26"})</f>
        <v>250</v>
      </c>
      <c r="T527" s="21">
        <f t="shared" si="44"/>
        <v>115</v>
      </c>
      <c r="U527" s="21">
        <f t="shared" si="45"/>
        <v>365</v>
      </c>
      <c r="V527" s="311">
        <f t="shared" si="46"/>
        <v>365</v>
      </c>
      <c r="W527" s="140">
        <f t="shared" si="47"/>
        <v>0</v>
      </c>
      <c r="X527" s="141">
        <f t="shared" si="48"/>
        <v>0</v>
      </c>
      <c r="Y527" s="141">
        <v>0</v>
      </c>
    </row>
    <row r="528" spans="1:25" ht="15" x14ac:dyDescent="0.2">
      <c r="A528" s="276" t="s">
        <v>697</v>
      </c>
      <c r="B528" s="391" t="s">
        <v>611</v>
      </c>
      <c r="C528" s="391" t="s">
        <v>169</v>
      </c>
      <c r="D528" s="139" t="str">
        <f>VLOOKUP(C528,'Seznam HS - nemaš'!$A$1:$B$96,2,FALSE)</f>
        <v>411100</v>
      </c>
      <c r="E528" s="19" t="s">
        <v>1374</v>
      </c>
      <c r="F528" s="154" t="s">
        <v>724</v>
      </c>
      <c r="G528" s="154"/>
      <c r="H528" s="28">
        <f>+IF(ISBLANK(I528),0,VLOOKUP(I528,'8Příloha_2_ceník_pravid_úklid'!$B$9:$C$30,2,0))</f>
        <v>7</v>
      </c>
      <c r="I528" s="19" t="s">
        <v>14</v>
      </c>
      <c r="J528" s="155">
        <v>3.04</v>
      </c>
      <c r="K528" s="19" t="s">
        <v>50</v>
      </c>
      <c r="L528" s="146" t="s">
        <v>22</v>
      </c>
      <c r="M528" s="22" t="s">
        <v>49</v>
      </c>
      <c r="N528" s="24">
        <f>IF((VLOOKUP(I528,'8Příloha_2_ceník_pravid_úklid'!$B$9:$I$30,8,0))=0,VLOOKUP(I528,'8Příloha_2_ceník_pravid_úklid'!$B$9:$K$30,10,0),VLOOKUP(I528,'8Příloha_2_ceník_pravid_úklid'!$B$9:$I$30,8,0))</f>
        <v>0</v>
      </c>
      <c r="O528" s="20">
        <v>2</v>
      </c>
      <c r="P528" s="20">
        <v>1</v>
      </c>
      <c r="Q528" s="20">
        <v>2</v>
      </c>
      <c r="R528" s="20">
        <v>1</v>
      </c>
      <c r="S528" s="21">
        <f>NETWORKDAYS.INTL(DATE(2018,1,1),DATE(2018,12,31),1,{"2018/1/1";"2018/3/30";"2018/4/2";"2018/5/1";"2018/5/8";"2018/7/5";"2018/7/6";"2018/09/28";"2018/11/17";"2018/12/24";"2018/12/25";"2018/12/26"})</f>
        <v>250</v>
      </c>
      <c r="T528" s="21">
        <f t="shared" si="44"/>
        <v>115</v>
      </c>
      <c r="U528" s="21">
        <f t="shared" si="45"/>
        <v>365</v>
      </c>
      <c r="V528" s="311">
        <f t="shared" si="46"/>
        <v>730</v>
      </c>
      <c r="W528" s="140">
        <f t="shared" si="47"/>
        <v>0</v>
      </c>
      <c r="X528" s="141">
        <f t="shared" si="48"/>
        <v>0</v>
      </c>
      <c r="Y528" s="141">
        <v>0</v>
      </c>
    </row>
    <row r="529" spans="1:25" ht="15" x14ac:dyDescent="0.2">
      <c r="A529" s="276" t="s">
        <v>697</v>
      </c>
      <c r="B529" s="391" t="s">
        <v>611</v>
      </c>
      <c r="C529" s="391" t="s">
        <v>169</v>
      </c>
      <c r="D529" s="139" t="str">
        <f>VLOOKUP(C529,'Seznam HS - nemaš'!$A$1:$B$96,2,FALSE)</f>
        <v>411100</v>
      </c>
      <c r="E529" s="19" t="s">
        <v>1375</v>
      </c>
      <c r="F529" s="154" t="s">
        <v>567</v>
      </c>
      <c r="G529" s="154" t="s">
        <v>1363</v>
      </c>
      <c r="H529" s="28">
        <f>+IF(ISBLANK(I529),0,VLOOKUP(I529,'8Příloha_2_ceník_pravid_úklid'!$B$9:$C$30,2,0))</f>
        <v>1</v>
      </c>
      <c r="I529" s="19" t="s">
        <v>78</v>
      </c>
      <c r="J529" s="155">
        <v>31.03</v>
      </c>
      <c r="K529" s="19" t="s">
        <v>51</v>
      </c>
      <c r="L529" s="146" t="s">
        <v>537</v>
      </c>
      <c r="M529" s="22" t="s">
        <v>49</v>
      </c>
      <c r="N529" s="24">
        <f>IF((VLOOKUP(I529,'8Příloha_2_ceník_pravid_úklid'!$B$9:$I$30,8,0))=0,VLOOKUP(I529,'8Příloha_2_ceník_pravid_úklid'!$B$9:$K$30,10,0),VLOOKUP(I529,'8Příloha_2_ceník_pravid_úklid'!$B$9:$I$30,8,0))</f>
        <v>0</v>
      </c>
      <c r="O529" s="20">
        <v>1</v>
      </c>
      <c r="P529" s="20">
        <v>1</v>
      </c>
      <c r="Q529" s="20">
        <v>1</v>
      </c>
      <c r="R529" s="20">
        <v>1</v>
      </c>
      <c r="S529" s="21">
        <f>NETWORKDAYS.INTL(DATE(2018,1,1),DATE(2018,12,31),1,{"2018/1/1";"2018/3/30";"2018/4/2";"2018/5/1";"2018/5/8";"2018/7/5";"2018/7/6";"2018/09/28";"2018/11/17";"2018/12/24";"2018/12/25";"2018/12/26"})</f>
        <v>250</v>
      </c>
      <c r="T529" s="21">
        <f t="shared" si="44"/>
        <v>115</v>
      </c>
      <c r="U529" s="21">
        <f t="shared" si="45"/>
        <v>365</v>
      </c>
      <c r="V529" s="311">
        <f t="shared" si="46"/>
        <v>365</v>
      </c>
      <c r="W529" s="140">
        <f t="shared" si="47"/>
        <v>0</v>
      </c>
      <c r="X529" s="141">
        <f t="shared" si="48"/>
        <v>0</v>
      </c>
      <c r="Y529" s="141">
        <v>0</v>
      </c>
    </row>
    <row r="530" spans="1:25" ht="15" x14ac:dyDescent="0.2">
      <c r="A530" s="276" t="s">
        <v>697</v>
      </c>
      <c r="B530" s="391" t="s">
        <v>611</v>
      </c>
      <c r="C530" s="391" t="s">
        <v>169</v>
      </c>
      <c r="D530" s="139" t="str">
        <f>VLOOKUP(C530,'Seznam HS - nemaš'!$A$1:$B$96,2,FALSE)</f>
        <v>411100</v>
      </c>
      <c r="E530" s="19" t="s">
        <v>1376</v>
      </c>
      <c r="F530" s="154" t="s">
        <v>724</v>
      </c>
      <c r="G530" s="154"/>
      <c r="H530" s="28">
        <f>+IF(ISBLANK(I530),0,VLOOKUP(I530,'8Příloha_2_ceník_pravid_úklid'!$B$9:$C$30,2,0))</f>
        <v>7</v>
      </c>
      <c r="I530" s="19" t="s">
        <v>14</v>
      </c>
      <c r="J530" s="155">
        <v>3.1</v>
      </c>
      <c r="K530" s="19" t="s">
        <v>50</v>
      </c>
      <c r="L530" s="146" t="s">
        <v>22</v>
      </c>
      <c r="M530" s="22" t="s">
        <v>49</v>
      </c>
      <c r="N530" s="24">
        <f>IF((VLOOKUP(I530,'8Příloha_2_ceník_pravid_úklid'!$B$9:$I$30,8,0))=0,VLOOKUP(I530,'8Příloha_2_ceník_pravid_úklid'!$B$9:$K$30,10,0),VLOOKUP(I530,'8Příloha_2_ceník_pravid_úklid'!$B$9:$I$30,8,0))</f>
        <v>0</v>
      </c>
      <c r="O530" s="20">
        <v>2</v>
      </c>
      <c r="P530" s="20">
        <v>1</v>
      </c>
      <c r="Q530" s="20">
        <v>2</v>
      </c>
      <c r="R530" s="20">
        <v>1</v>
      </c>
      <c r="S530" s="21">
        <f>NETWORKDAYS.INTL(DATE(2018,1,1),DATE(2018,12,31),1,{"2018/1/1";"2018/3/30";"2018/4/2";"2018/5/1";"2018/5/8";"2018/7/5";"2018/7/6";"2018/09/28";"2018/11/17";"2018/12/24";"2018/12/25";"2018/12/26"})</f>
        <v>250</v>
      </c>
      <c r="T530" s="21">
        <f t="shared" si="44"/>
        <v>115</v>
      </c>
      <c r="U530" s="21">
        <f t="shared" si="45"/>
        <v>365</v>
      </c>
      <c r="V530" s="311">
        <f t="shared" si="46"/>
        <v>730</v>
      </c>
      <c r="W530" s="140">
        <f t="shared" si="47"/>
        <v>0</v>
      </c>
      <c r="X530" s="141">
        <f t="shared" si="48"/>
        <v>0</v>
      </c>
      <c r="Y530" s="141">
        <v>0</v>
      </c>
    </row>
    <row r="531" spans="1:25" ht="15" x14ac:dyDescent="0.2">
      <c r="A531" s="276" t="s">
        <v>697</v>
      </c>
      <c r="B531" s="391" t="s">
        <v>611</v>
      </c>
      <c r="C531" s="391" t="s">
        <v>169</v>
      </c>
      <c r="D531" s="139" t="str">
        <f>VLOOKUP(C531,'Seznam HS - nemaš'!$A$1:$B$96,2,FALSE)</f>
        <v>411100</v>
      </c>
      <c r="E531" s="19" t="s">
        <v>1377</v>
      </c>
      <c r="F531" s="154" t="s">
        <v>567</v>
      </c>
      <c r="G531" s="154" t="s">
        <v>1363</v>
      </c>
      <c r="H531" s="28">
        <f>+IF(ISBLANK(I531),0,VLOOKUP(I531,'8Příloha_2_ceník_pravid_úklid'!$B$9:$C$30,2,0))</f>
        <v>1</v>
      </c>
      <c r="I531" s="19" t="s">
        <v>78</v>
      </c>
      <c r="J531" s="155">
        <v>26.95</v>
      </c>
      <c r="K531" s="19" t="s">
        <v>51</v>
      </c>
      <c r="L531" s="146" t="s">
        <v>537</v>
      </c>
      <c r="M531" s="22" t="s">
        <v>49</v>
      </c>
      <c r="N531" s="24">
        <f>IF((VLOOKUP(I531,'8Příloha_2_ceník_pravid_úklid'!$B$9:$I$30,8,0))=0,VLOOKUP(I531,'8Příloha_2_ceník_pravid_úklid'!$B$9:$K$30,10,0),VLOOKUP(I531,'8Příloha_2_ceník_pravid_úklid'!$B$9:$I$30,8,0))</f>
        <v>0</v>
      </c>
      <c r="O531" s="20">
        <v>1</v>
      </c>
      <c r="P531" s="20">
        <v>1</v>
      </c>
      <c r="Q531" s="20">
        <v>1</v>
      </c>
      <c r="R531" s="20">
        <v>1</v>
      </c>
      <c r="S531" s="21">
        <f>NETWORKDAYS.INTL(DATE(2018,1,1),DATE(2018,12,31),1,{"2018/1/1";"2018/3/30";"2018/4/2";"2018/5/1";"2018/5/8";"2018/7/5";"2018/7/6";"2018/09/28";"2018/11/17";"2018/12/24";"2018/12/25";"2018/12/26"})</f>
        <v>250</v>
      </c>
      <c r="T531" s="21">
        <f t="shared" si="44"/>
        <v>115</v>
      </c>
      <c r="U531" s="21">
        <f t="shared" si="45"/>
        <v>365</v>
      </c>
      <c r="V531" s="311">
        <f t="shared" si="46"/>
        <v>365</v>
      </c>
      <c r="W531" s="140">
        <f t="shared" si="47"/>
        <v>0</v>
      </c>
      <c r="X531" s="141">
        <f t="shared" si="48"/>
        <v>0</v>
      </c>
      <c r="Y531" s="141">
        <v>0</v>
      </c>
    </row>
    <row r="532" spans="1:25" ht="15" x14ac:dyDescent="0.2">
      <c r="A532" s="276" t="s">
        <v>697</v>
      </c>
      <c r="B532" s="391" t="s">
        <v>611</v>
      </c>
      <c r="C532" s="391" t="s">
        <v>169</v>
      </c>
      <c r="D532" s="139" t="str">
        <f>VLOOKUP(C532,'Seznam HS - nemaš'!$A$1:$B$96,2,FALSE)</f>
        <v>411100</v>
      </c>
      <c r="E532" s="19" t="s">
        <v>1378</v>
      </c>
      <c r="F532" s="154" t="s">
        <v>724</v>
      </c>
      <c r="G532" s="154"/>
      <c r="H532" s="28">
        <f>+IF(ISBLANK(I532),0,VLOOKUP(I532,'8Příloha_2_ceník_pravid_úklid'!$B$9:$C$30,2,0))</f>
        <v>7</v>
      </c>
      <c r="I532" s="19" t="s">
        <v>14</v>
      </c>
      <c r="J532" s="155">
        <v>2.62</v>
      </c>
      <c r="K532" s="19" t="s">
        <v>50</v>
      </c>
      <c r="L532" s="146" t="s">
        <v>22</v>
      </c>
      <c r="M532" s="22" t="s">
        <v>49</v>
      </c>
      <c r="N532" s="24">
        <f>IF((VLOOKUP(I532,'8Příloha_2_ceník_pravid_úklid'!$B$9:$I$30,8,0))=0,VLOOKUP(I532,'8Příloha_2_ceník_pravid_úklid'!$B$9:$K$30,10,0),VLOOKUP(I532,'8Příloha_2_ceník_pravid_úklid'!$B$9:$I$30,8,0))</f>
        <v>0</v>
      </c>
      <c r="O532" s="20">
        <v>2</v>
      </c>
      <c r="P532" s="20">
        <v>1</v>
      </c>
      <c r="Q532" s="20">
        <v>2</v>
      </c>
      <c r="R532" s="20">
        <v>1</v>
      </c>
      <c r="S532" s="21">
        <f>NETWORKDAYS.INTL(DATE(2018,1,1),DATE(2018,12,31),1,{"2018/1/1";"2018/3/30";"2018/4/2";"2018/5/1";"2018/5/8";"2018/7/5";"2018/7/6";"2018/09/28";"2018/11/17";"2018/12/24";"2018/12/25";"2018/12/26"})</f>
        <v>250</v>
      </c>
      <c r="T532" s="21">
        <f t="shared" si="44"/>
        <v>115</v>
      </c>
      <c r="U532" s="21">
        <f t="shared" si="45"/>
        <v>365</v>
      </c>
      <c r="V532" s="311">
        <f t="shared" si="46"/>
        <v>730</v>
      </c>
      <c r="W532" s="140">
        <f t="shared" si="47"/>
        <v>0</v>
      </c>
      <c r="X532" s="141">
        <f t="shared" si="48"/>
        <v>0</v>
      </c>
      <c r="Y532" s="141">
        <v>0</v>
      </c>
    </row>
    <row r="533" spans="1:25" ht="15" x14ac:dyDescent="0.2">
      <c r="A533" s="276" t="s">
        <v>697</v>
      </c>
      <c r="B533" s="391" t="s">
        <v>611</v>
      </c>
      <c r="C533" s="391" t="s">
        <v>169</v>
      </c>
      <c r="D533" s="139" t="str">
        <f>VLOOKUP(C533,'Seznam HS - nemaš'!$A$1:$B$96,2,FALSE)</f>
        <v>411100</v>
      </c>
      <c r="E533" s="19" t="s">
        <v>1379</v>
      </c>
      <c r="F533" s="154" t="s">
        <v>567</v>
      </c>
      <c r="G533" s="154" t="s">
        <v>1363</v>
      </c>
      <c r="H533" s="28">
        <f>+IF(ISBLANK(I533),0,VLOOKUP(I533,'8Příloha_2_ceník_pravid_úklid'!$B$9:$C$30,2,0))</f>
        <v>1</v>
      </c>
      <c r="I533" s="19" t="s">
        <v>78</v>
      </c>
      <c r="J533" s="155">
        <v>31.05</v>
      </c>
      <c r="K533" s="19" t="s">
        <v>51</v>
      </c>
      <c r="L533" s="146" t="s">
        <v>537</v>
      </c>
      <c r="M533" s="22" t="s">
        <v>49</v>
      </c>
      <c r="N533" s="24">
        <f>IF((VLOOKUP(I533,'8Příloha_2_ceník_pravid_úklid'!$B$9:$I$30,8,0))=0,VLOOKUP(I533,'8Příloha_2_ceník_pravid_úklid'!$B$9:$K$30,10,0),VLOOKUP(I533,'8Příloha_2_ceník_pravid_úklid'!$B$9:$I$30,8,0))</f>
        <v>0</v>
      </c>
      <c r="O533" s="20">
        <v>1</v>
      </c>
      <c r="P533" s="20">
        <v>1</v>
      </c>
      <c r="Q533" s="20">
        <v>1</v>
      </c>
      <c r="R533" s="20">
        <v>1</v>
      </c>
      <c r="S533" s="21">
        <f>NETWORKDAYS.INTL(DATE(2018,1,1),DATE(2018,12,31),1,{"2018/1/1";"2018/3/30";"2018/4/2";"2018/5/1";"2018/5/8";"2018/7/5";"2018/7/6";"2018/09/28";"2018/11/17";"2018/12/24";"2018/12/25";"2018/12/26"})</f>
        <v>250</v>
      </c>
      <c r="T533" s="21">
        <f t="shared" si="44"/>
        <v>115</v>
      </c>
      <c r="U533" s="21">
        <f t="shared" si="45"/>
        <v>365</v>
      </c>
      <c r="V533" s="311">
        <f t="shared" si="46"/>
        <v>365</v>
      </c>
      <c r="W533" s="140">
        <f t="shared" si="47"/>
        <v>0</v>
      </c>
      <c r="X533" s="141">
        <f t="shared" si="48"/>
        <v>0</v>
      </c>
      <c r="Y533" s="141">
        <v>0</v>
      </c>
    </row>
    <row r="534" spans="1:25" ht="15" x14ac:dyDescent="0.2">
      <c r="A534" s="276" t="s">
        <v>697</v>
      </c>
      <c r="B534" s="391" t="s">
        <v>611</v>
      </c>
      <c r="C534" s="391" t="s">
        <v>169</v>
      </c>
      <c r="D534" s="139" t="str">
        <f>VLOOKUP(C534,'Seznam HS - nemaš'!$A$1:$B$96,2,FALSE)</f>
        <v>411100</v>
      </c>
      <c r="E534" s="19" t="s">
        <v>1380</v>
      </c>
      <c r="F534" s="154" t="s">
        <v>724</v>
      </c>
      <c r="G534" s="154"/>
      <c r="H534" s="28">
        <f>+IF(ISBLANK(I534),0,VLOOKUP(I534,'8Příloha_2_ceník_pravid_úklid'!$B$9:$C$30,2,0))</f>
        <v>7</v>
      </c>
      <c r="I534" s="19" t="s">
        <v>14</v>
      </c>
      <c r="J534" s="155">
        <v>3.05</v>
      </c>
      <c r="K534" s="19" t="s">
        <v>50</v>
      </c>
      <c r="L534" s="146" t="s">
        <v>22</v>
      </c>
      <c r="M534" s="22" t="s">
        <v>49</v>
      </c>
      <c r="N534" s="24">
        <f>IF((VLOOKUP(I534,'8Příloha_2_ceník_pravid_úklid'!$B$9:$I$30,8,0))=0,VLOOKUP(I534,'8Příloha_2_ceník_pravid_úklid'!$B$9:$K$30,10,0),VLOOKUP(I534,'8Příloha_2_ceník_pravid_úklid'!$B$9:$I$30,8,0))</f>
        <v>0</v>
      </c>
      <c r="O534" s="20">
        <v>2</v>
      </c>
      <c r="P534" s="20">
        <v>1</v>
      </c>
      <c r="Q534" s="20">
        <v>2</v>
      </c>
      <c r="R534" s="20">
        <v>1</v>
      </c>
      <c r="S534" s="21">
        <f>NETWORKDAYS.INTL(DATE(2018,1,1),DATE(2018,12,31),1,{"2018/1/1";"2018/3/30";"2018/4/2";"2018/5/1";"2018/5/8";"2018/7/5";"2018/7/6";"2018/09/28";"2018/11/17";"2018/12/24";"2018/12/25";"2018/12/26"})</f>
        <v>250</v>
      </c>
      <c r="T534" s="21">
        <f t="shared" si="44"/>
        <v>115</v>
      </c>
      <c r="U534" s="21">
        <f t="shared" si="45"/>
        <v>365</v>
      </c>
      <c r="V534" s="311">
        <f t="shared" si="46"/>
        <v>730</v>
      </c>
      <c r="W534" s="140">
        <f t="shared" si="47"/>
        <v>0</v>
      </c>
      <c r="X534" s="141">
        <f t="shared" si="48"/>
        <v>0</v>
      </c>
      <c r="Y534" s="141">
        <v>0</v>
      </c>
    </row>
    <row r="535" spans="1:25" ht="15" x14ac:dyDescent="0.2">
      <c r="A535" s="276" t="s">
        <v>697</v>
      </c>
      <c r="B535" s="391" t="s">
        <v>611</v>
      </c>
      <c r="C535" s="391" t="s">
        <v>169</v>
      </c>
      <c r="D535" s="139" t="str">
        <f>VLOOKUP(C535,'Seznam HS - nemaš'!$A$1:$B$96,2,FALSE)</f>
        <v>411100</v>
      </c>
      <c r="E535" s="19" t="s">
        <v>1381</v>
      </c>
      <c r="F535" s="154" t="s">
        <v>567</v>
      </c>
      <c r="G535" s="154" t="s">
        <v>1363</v>
      </c>
      <c r="H535" s="28">
        <f>+IF(ISBLANK(I535),0,VLOOKUP(I535,'8Příloha_2_ceník_pravid_úklid'!$B$9:$C$30,2,0))</f>
        <v>1</v>
      </c>
      <c r="I535" s="19" t="s">
        <v>78</v>
      </c>
      <c r="J535" s="155">
        <v>27.1</v>
      </c>
      <c r="K535" s="19" t="s">
        <v>51</v>
      </c>
      <c r="L535" s="146" t="s">
        <v>537</v>
      </c>
      <c r="M535" s="22" t="s">
        <v>49</v>
      </c>
      <c r="N535" s="24">
        <f>IF((VLOOKUP(I535,'8Příloha_2_ceník_pravid_úklid'!$B$9:$I$30,8,0))=0,VLOOKUP(I535,'8Příloha_2_ceník_pravid_úklid'!$B$9:$K$30,10,0),VLOOKUP(I535,'8Příloha_2_ceník_pravid_úklid'!$B$9:$I$30,8,0))</f>
        <v>0</v>
      </c>
      <c r="O535" s="20">
        <v>1</v>
      </c>
      <c r="P535" s="20">
        <v>1</v>
      </c>
      <c r="Q535" s="20">
        <v>1</v>
      </c>
      <c r="R535" s="20">
        <v>1</v>
      </c>
      <c r="S535" s="21">
        <f>NETWORKDAYS.INTL(DATE(2018,1,1),DATE(2018,12,31),1,{"2018/1/1";"2018/3/30";"2018/4/2";"2018/5/1";"2018/5/8";"2018/7/5";"2018/7/6";"2018/09/28";"2018/11/17";"2018/12/24";"2018/12/25";"2018/12/26"})</f>
        <v>250</v>
      </c>
      <c r="T535" s="21">
        <f t="shared" si="44"/>
        <v>115</v>
      </c>
      <c r="U535" s="21">
        <f t="shared" si="45"/>
        <v>365</v>
      </c>
      <c r="V535" s="311">
        <f t="shared" si="46"/>
        <v>365</v>
      </c>
      <c r="W535" s="140">
        <f t="shared" si="47"/>
        <v>0</v>
      </c>
      <c r="X535" s="141">
        <f t="shared" si="48"/>
        <v>0</v>
      </c>
      <c r="Y535" s="141">
        <v>0</v>
      </c>
    </row>
    <row r="536" spans="1:25" ht="15" x14ac:dyDescent="0.2">
      <c r="A536" s="276" t="s">
        <v>697</v>
      </c>
      <c r="B536" s="391" t="s">
        <v>611</v>
      </c>
      <c r="C536" s="391" t="s">
        <v>169</v>
      </c>
      <c r="D536" s="139" t="str">
        <f>VLOOKUP(C536,'Seznam HS - nemaš'!$A$1:$B$96,2,FALSE)</f>
        <v>411100</v>
      </c>
      <c r="E536" s="19" t="s">
        <v>1382</v>
      </c>
      <c r="F536" s="154" t="s">
        <v>724</v>
      </c>
      <c r="G536" s="154"/>
      <c r="H536" s="28">
        <f>+IF(ISBLANK(I536),0,VLOOKUP(I536,'8Příloha_2_ceník_pravid_úklid'!$B$9:$C$30,2,0))</f>
        <v>7</v>
      </c>
      <c r="I536" s="19" t="s">
        <v>14</v>
      </c>
      <c r="J536" s="155">
        <v>3.17</v>
      </c>
      <c r="K536" s="19" t="s">
        <v>50</v>
      </c>
      <c r="L536" s="146" t="s">
        <v>22</v>
      </c>
      <c r="M536" s="22" t="s">
        <v>49</v>
      </c>
      <c r="N536" s="24">
        <f>IF((VLOOKUP(I536,'8Příloha_2_ceník_pravid_úklid'!$B$9:$I$30,8,0))=0,VLOOKUP(I536,'8Příloha_2_ceník_pravid_úklid'!$B$9:$K$30,10,0),VLOOKUP(I536,'8Příloha_2_ceník_pravid_úklid'!$B$9:$I$30,8,0))</f>
        <v>0</v>
      </c>
      <c r="O536" s="20">
        <v>2</v>
      </c>
      <c r="P536" s="20">
        <v>1</v>
      </c>
      <c r="Q536" s="20">
        <v>2</v>
      </c>
      <c r="R536" s="20">
        <v>1</v>
      </c>
      <c r="S536" s="21">
        <f>NETWORKDAYS.INTL(DATE(2018,1,1),DATE(2018,12,31),1,{"2018/1/1";"2018/3/30";"2018/4/2";"2018/5/1";"2018/5/8";"2018/7/5";"2018/7/6";"2018/09/28";"2018/11/17";"2018/12/24";"2018/12/25";"2018/12/26"})</f>
        <v>250</v>
      </c>
      <c r="T536" s="21">
        <f t="shared" si="44"/>
        <v>115</v>
      </c>
      <c r="U536" s="21">
        <f t="shared" si="45"/>
        <v>365</v>
      </c>
      <c r="V536" s="311">
        <f t="shared" si="46"/>
        <v>730</v>
      </c>
      <c r="W536" s="140">
        <f t="shared" si="47"/>
        <v>0</v>
      </c>
      <c r="X536" s="141">
        <f t="shared" si="48"/>
        <v>0</v>
      </c>
      <c r="Y536" s="141">
        <v>0</v>
      </c>
    </row>
    <row r="537" spans="1:25" ht="15" x14ac:dyDescent="0.2">
      <c r="A537" s="276" t="s">
        <v>697</v>
      </c>
      <c r="B537" s="391" t="s">
        <v>611</v>
      </c>
      <c r="C537" s="391" t="s">
        <v>169</v>
      </c>
      <c r="D537" s="139" t="str">
        <f>VLOOKUP(C537,'Seznam HS - nemaš'!$A$1:$B$96,2,FALSE)</f>
        <v>411100</v>
      </c>
      <c r="E537" s="19" t="s">
        <v>1383</v>
      </c>
      <c r="F537" s="154" t="s">
        <v>53</v>
      </c>
      <c r="G537" s="154"/>
      <c r="H537" s="28">
        <f>+IF(ISBLANK(I537),0,VLOOKUP(I537,'8Příloha_2_ceník_pravid_úklid'!$B$9:$C$30,2,0))</f>
        <v>6</v>
      </c>
      <c r="I537" s="19" t="s">
        <v>1</v>
      </c>
      <c r="J537" s="155">
        <v>136.22</v>
      </c>
      <c r="K537" s="19" t="s">
        <v>51</v>
      </c>
      <c r="L537" s="146" t="s">
        <v>22</v>
      </c>
      <c r="M537" s="22" t="s">
        <v>49</v>
      </c>
      <c r="N537" s="24">
        <f>IF((VLOOKUP(I537,'8Příloha_2_ceník_pravid_úklid'!$B$9:$I$30,8,0))=0,VLOOKUP(I537,'8Příloha_2_ceník_pravid_úklid'!$B$9:$K$30,10,0),VLOOKUP(I537,'8Příloha_2_ceník_pravid_úklid'!$B$9:$I$30,8,0))</f>
        <v>0</v>
      </c>
      <c r="O537" s="20">
        <v>2</v>
      </c>
      <c r="P537" s="20">
        <v>1</v>
      </c>
      <c r="Q537" s="20">
        <v>2</v>
      </c>
      <c r="R537" s="20">
        <v>1</v>
      </c>
      <c r="S537" s="21">
        <f>NETWORKDAYS.INTL(DATE(2018,1,1),DATE(2018,12,31),1,{"2018/1/1";"2018/3/30";"2018/4/2";"2018/5/1";"2018/5/8";"2018/7/5";"2018/7/6";"2018/09/28";"2018/11/17";"2018/12/24";"2018/12/25";"2018/12/26"})</f>
        <v>250</v>
      </c>
      <c r="T537" s="21">
        <f t="shared" si="44"/>
        <v>115</v>
      </c>
      <c r="U537" s="21">
        <f t="shared" si="45"/>
        <v>365</v>
      </c>
      <c r="V537" s="311">
        <f t="shared" si="46"/>
        <v>730</v>
      </c>
      <c r="W537" s="140">
        <f t="shared" si="47"/>
        <v>0</v>
      </c>
      <c r="X537" s="141">
        <f t="shared" si="48"/>
        <v>0</v>
      </c>
      <c r="Y537" s="141">
        <v>0</v>
      </c>
    </row>
    <row r="538" spans="1:25" ht="15" x14ac:dyDescent="0.2">
      <c r="A538" s="276" t="s">
        <v>697</v>
      </c>
      <c r="B538" s="391" t="s">
        <v>611</v>
      </c>
      <c r="C538" s="391" t="s">
        <v>169</v>
      </c>
      <c r="D538" s="139" t="str">
        <f>VLOOKUP(C538,'Seznam HS - nemaš'!$A$1:$B$96,2,FALSE)</f>
        <v>411100</v>
      </c>
      <c r="E538" s="19" t="s">
        <v>1384</v>
      </c>
      <c r="F538" s="154" t="s">
        <v>893</v>
      </c>
      <c r="G538" s="154" t="s">
        <v>446</v>
      </c>
      <c r="H538" s="28">
        <f>+IF(ISBLANK(I538),0,VLOOKUP(I538,'8Příloha_2_ceník_pravid_úklid'!$B$9:$C$30,2,0))</f>
        <v>7</v>
      </c>
      <c r="I538" s="19" t="s">
        <v>14</v>
      </c>
      <c r="J538" s="155">
        <v>9.39</v>
      </c>
      <c r="K538" s="19" t="s">
        <v>50</v>
      </c>
      <c r="L538" s="146" t="s">
        <v>22</v>
      </c>
      <c r="M538" s="22" t="s">
        <v>49</v>
      </c>
      <c r="N538" s="24">
        <f>IF((VLOOKUP(I538,'8Příloha_2_ceník_pravid_úklid'!$B$9:$I$30,8,0))=0,VLOOKUP(I538,'8Příloha_2_ceník_pravid_úklid'!$B$9:$K$30,10,0),VLOOKUP(I538,'8Příloha_2_ceník_pravid_úklid'!$B$9:$I$30,8,0))</f>
        <v>0</v>
      </c>
      <c r="O538" s="20">
        <v>2</v>
      </c>
      <c r="P538" s="20">
        <v>1</v>
      </c>
      <c r="Q538" s="20">
        <v>2</v>
      </c>
      <c r="R538" s="20">
        <v>1</v>
      </c>
      <c r="S538" s="21">
        <f>NETWORKDAYS.INTL(DATE(2018,1,1),DATE(2018,12,31),1,{"2018/1/1";"2018/3/30";"2018/4/2";"2018/5/1";"2018/5/8";"2018/7/5";"2018/7/6";"2018/09/28";"2018/11/17";"2018/12/24";"2018/12/25";"2018/12/26"})</f>
        <v>250</v>
      </c>
      <c r="T538" s="21">
        <f t="shared" si="44"/>
        <v>115</v>
      </c>
      <c r="U538" s="21">
        <f t="shared" si="45"/>
        <v>365</v>
      </c>
      <c r="V538" s="311">
        <f t="shared" si="46"/>
        <v>730</v>
      </c>
      <c r="W538" s="140">
        <f t="shared" si="47"/>
        <v>0</v>
      </c>
      <c r="X538" s="141">
        <f t="shared" si="48"/>
        <v>0</v>
      </c>
      <c r="Y538" s="141">
        <v>0</v>
      </c>
    </row>
    <row r="539" spans="1:25" ht="15" x14ac:dyDescent="0.2">
      <c r="A539" s="276" t="s">
        <v>697</v>
      </c>
      <c r="B539" s="391" t="s">
        <v>611</v>
      </c>
      <c r="C539" s="391" t="s">
        <v>169</v>
      </c>
      <c r="D539" s="139" t="str">
        <f>VLOOKUP(C539,'Seznam HS - nemaš'!$A$1:$B$96,2,FALSE)</f>
        <v>411100</v>
      </c>
      <c r="E539" s="19" t="s">
        <v>1385</v>
      </c>
      <c r="F539" s="154" t="s">
        <v>389</v>
      </c>
      <c r="G539" s="154"/>
      <c r="H539" s="28">
        <f>+IF(ISBLANK(I539),0,VLOOKUP(I539,'8Příloha_2_ceník_pravid_úklid'!$B$9:$C$30,2,0))</f>
        <v>17</v>
      </c>
      <c r="I539" s="19" t="s">
        <v>13</v>
      </c>
      <c r="J539" s="155">
        <v>2.5299999999999998</v>
      </c>
      <c r="K539" s="19" t="s">
        <v>51</v>
      </c>
      <c r="L539" s="156" t="s">
        <v>21</v>
      </c>
      <c r="M539" s="22" t="s">
        <v>49</v>
      </c>
      <c r="N539" s="24">
        <f>IF((VLOOKUP(I539,'8Příloha_2_ceník_pravid_úklid'!$B$9:$I$30,8,0))=0,VLOOKUP(I539,'8Příloha_2_ceník_pravid_úklid'!$B$9:$K$30,10,0),VLOOKUP(I539,'8Příloha_2_ceník_pravid_úklid'!$B$9:$I$30,8,0))</f>
        <v>0</v>
      </c>
      <c r="O539" s="20">
        <v>1</v>
      </c>
      <c r="P539" s="20">
        <v>1</v>
      </c>
      <c r="Q539" s="20">
        <v>0</v>
      </c>
      <c r="R539" s="20">
        <v>0</v>
      </c>
      <c r="S539" s="21">
        <f>NETWORKDAYS.INTL(DATE(2018,1,1),DATE(2018,12,31),1,{"2018/1/1";"2018/3/30";"2018/4/2";"2018/5/1";"2018/5/8";"2018/7/5";"2018/7/6";"2018/09/28";"2018/11/17";"2018/12/24";"2018/12/25";"2018/12/26"})</f>
        <v>250</v>
      </c>
      <c r="T539" s="21">
        <f t="shared" si="44"/>
        <v>115</v>
      </c>
      <c r="U539" s="21">
        <f t="shared" si="45"/>
        <v>365</v>
      </c>
      <c r="V539" s="311">
        <f t="shared" si="46"/>
        <v>250</v>
      </c>
      <c r="W539" s="140">
        <f t="shared" si="47"/>
        <v>0</v>
      </c>
      <c r="X539" s="141">
        <f t="shared" si="48"/>
        <v>0</v>
      </c>
      <c r="Y539" s="141">
        <v>0</v>
      </c>
    </row>
    <row r="540" spans="1:25" ht="15" x14ac:dyDescent="0.2">
      <c r="A540" s="276" t="s">
        <v>697</v>
      </c>
      <c r="B540" s="391" t="s">
        <v>611</v>
      </c>
      <c r="C540" s="391" t="s">
        <v>169</v>
      </c>
      <c r="D540" s="139" t="str">
        <f>VLOOKUP(C540,'Seznam HS - nemaš'!$A$1:$B$96,2,FALSE)</f>
        <v>411100</v>
      </c>
      <c r="E540" s="19" t="s">
        <v>1386</v>
      </c>
      <c r="F540" s="154" t="s">
        <v>552</v>
      </c>
      <c r="G540" s="154"/>
      <c r="H540" s="28">
        <f>+IF(ISBLANK(I540),0,VLOOKUP(I540,'8Příloha_2_ceník_pravid_úklid'!$B$9:$C$30,2,0))</f>
        <v>16</v>
      </c>
      <c r="I540" s="19" t="s">
        <v>6</v>
      </c>
      <c r="J540" s="155">
        <v>6</v>
      </c>
      <c r="K540" s="19" t="s">
        <v>51</v>
      </c>
      <c r="L540" s="146" t="s">
        <v>22</v>
      </c>
      <c r="M540" s="22" t="s">
        <v>49</v>
      </c>
      <c r="N540" s="24">
        <f>IF((VLOOKUP(I540,'8Příloha_2_ceník_pravid_úklid'!$B$9:$I$30,8,0))=0,VLOOKUP(I540,'8Příloha_2_ceník_pravid_úklid'!$B$9:$K$30,10,0),VLOOKUP(I540,'8Příloha_2_ceník_pravid_úklid'!$B$9:$I$30,8,0))</f>
        <v>0</v>
      </c>
      <c r="O540" s="20">
        <v>2</v>
      </c>
      <c r="P540" s="20">
        <v>1</v>
      </c>
      <c r="Q540" s="20">
        <v>2</v>
      </c>
      <c r="R540" s="20">
        <v>1</v>
      </c>
      <c r="S540" s="21">
        <f>NETWORKDAYS.INTL(DATE(2018,1,1),DATE(2018,12,31),1,{"2018/1/1";"2018/3/30";"2018/4/2";"2018/5/1";"2018/5/8";"2018/7/5";"2018/7/6";"2018/09/28";"2018/11/17";"2018/12/24";"2018/12/25";"2018/12/26"})</f>
        <v>250</v>
      </c>
      <c r="T540" s="21">
        <f t="shared" si="44"/>
        <v>115</v>
      </c>
      <c r="U540" s="21">
        <f t="shared" si="45"/>
        <v>365</v>
      </c>
      <c r="V540" s="311">
        <f t="shared" si="46"/>
        <v>730</v>
      </c>
      <c r="W540" s="140">
        <f t="shared" si="47"/>
        <v>0</v>
      </c>
      <c r="X540" s="141">
        <f t="shared" si="48"/>
        <v>0</v>
      </c>
      <c r="Y540" s="141">
        <v>0</v>
      </c>
    </row>
    <row r="541" spans="1:25" ht="15" x14ac:dyDescent="0.2">
      <c r="A541" s="276" t="s">
        <v>697</v>
      </c>
      <c r="B541" s="391" t="s">
        <v>611</v>
      </c>
      <c r="C541" s="391" t="s">
        <v>169</v>
      </c>
      <c r="D541" s="139" t="str">
        <f>VLOOKUP(C541,'Seznam HS - nemaš'!$A$1:$B$96,2,FALSE)</f>
        <v>411100</v>
      </c>
      <c r="E541" s="19" t="s">
        <v>1387</v>
      </c>
      <c r="F541" s="154" t="s">
        <v>724</v>
      </c>
      <c r="G541" s="154"/>
      <c r="H541" s="28">
        <f>+IF(ISBLANK(I541),0,VLOOKUP(I541,'8Příloha_2_ceník_pravid_úklid'!$B$9:$C$30,2,0))</f>
        <v>7</v>
      </c>
      <c r="I541" s="19" t="s">
        <v>14</v>
      </c>
      <c r="J541" s="155">
        <v>3.71</v>
      </c>
      <c r="K541" s="19" t="s">
        <v>50</v>
      </c>
      <c r="L541" s="146" t="s">
        <v>22</v>
      </c>
      <c r="M541" s="22" t="s">
        <v>49</v>
      </c>
      <c r="N541" s="24">
        <f>IF((VLOOKUP(I541,'8Příloha_2_ceník_pravid_úklid'!$B$9:$I$30,8,0))=0,VLOOKUP(I541,'8Příloha_2_ceník_pravid_úklid'!$B$9:$K$30,10,0),VLOOKUP(I541,'8Příloha_2_ceník_pravid_úklid'!$B$9:$I$30,8,0))</f>
        <v>0</v>
      </c>
      <c r="O541" s="20">
        <v>2</v>
      </c>
      <c r="P541" s="20">
        <v>1</v>
      </c>
      <c r="Q541" s="20">
        <v>2</v>
      </c>
      <c r="R541" s="20">
        <v>1</v>
      </c>
      <c r="S541" s="21">
        <f>NETWORKDAYS.INTL(DATE(2018,1,1),DATE(2018,12,31),1,{"2018/1/1";"2018/3/30";"2018/4/2";"2018/5/1";"2018/5/8";"2018/7/5";"2018/7/6";"2018/09/28";"2018/11/17";"2018/12/24";"2018/12/25";"2018/12/26"})</f>
        <v>250</v>
      </c>
      <c r="T541" s="21">
        <f t="shared" si="44"/>
        <v>115</v>
      </c>
      <c r="U541" s="21">
        <f t="shared" si="45"/>
        <v>365</v>
      </c>
      <c r="V541" s="311">
        <f t="shared" si="46"/>
        <v>730</v>
      </c>
      <c r="W541" s="140">
        <f t="shared" si="47"/>
        <v>0</v>
      </c>
      <c r="X541" s="141">
        <f t="shared" si="48"/>
        <v>0</v>
      </c>
      <c r="Y541" s="141">
        <v>0</v>
      </c>
    </row>
    <row r="542" spans="1:25" ht="15" x14ac:dyDescent="0.2">
      <c r="A542" s="276" t="s">
        <v>697</v>
      </c>
      <c r="B542" s="391" t="s">
        <v>611</v>
      </c>
      <c r="C542" s="391" t="s">
        <v>169</v>
      </c>
      <c r="D542" s="139" t="str">
        <f>VLOOKUP(C542,'Seznam HS - nemaš'!$A$1:$B$96,2,FALSE)</f>
        <v>411100</v>
      </c>
      <c r="E542" s="19" t="s">
        <v>1388</v>
      </c>
      <c r="F542" s="154" t="s">
        <v>329</v>
      </c>
      <c r="G542" s="154" t="s">
        <v>633</v>
      </c>
      <c r="H542" s="28">
        <f>+IF(ISBLANK(I542),0,VLOOKUP(I542,'8Příloha_2_ceník_pravid_úklid'!$B$9:$C$30,2,0))</f>
        <v>4</v>
      </c>
      <c r="I542" s="19" t="s">
        <v>9</v>
      </c>
      <c r="J542" s="155">
        <v>9.61</v>
      </c>
      <c r="K542" s="19" t="s">
        <v>51</v>
      </c>
      <c r="L542" s="146" t="s">
        <v>537</v>
      </c>
      <c r="M542" s="22" t="s">
        <v>49</v>
      </c>
      <c r="N542" s="24">
        <f>IF((VLOOKUP(I542,'8Příloha_2_ceník_pravid_úklid'!$B$9:$I$30,8,0))=0,VLOOKUP(I542,'8Příloha_2_ceník_pravid_úklid'!$B$9:$K$30,10,0),VLOOKUP(I542,'8Příloha_2_ceník_pravid_úklid'!$B$9:$I$30,8,0))</f>
        <v>0</v>
      </c>
      <c r="O542" s="20">
        <v>1</v>
      </c>
      <c r="P542" s="20">
        <v>1</v>
      </c>
      <c r="Q542" s="20">
        <v>1</v>
      </c>
      <c r="R542" s="20">
        <v>1</v>
      </c>
      <c r="S542" s="21">
        <f>NETWORKDAYS.INTL(DATE(2018,1,1),DATE(2018,12,31),1,{"2018/1/1";"2018/3/30";"2018/4/2";"2018/5/1";"2018/5/8";"2018/7/5";"2018/7/6";"2018/09/28";"2018/11/17";"2018/12/24";"2018/12/25";"2018/12/26"})</f>
        <v>250</v>
      </c>
      <c r="T542" s="21">
        <f t="shared" si="44"/>
        <v>115</v>
      </c>
      <c r="U542" s="21">
        <f t="shared" si="45"/>
        <v>365</v>
      </c>
      <c r="V542" s="311">
        <f t="shared" si="46"/>
        <v>365</v>
      </c>
      <c r="W542" s="140">
        <f t="shared" si="47"/>
        <v>0</v>
      </c>
      <c r="X542" s="141">
        <f t="shared" si="48"/>
        <v>0</v>
      </c>
      <c r="Y542" s="141">
        <v>0</v>
      </c>
    </row>
    <row r="543" spans="1:25" ht="15" x14ac:dyDescent="0.2">
      <c r="A543" s="276" t="s">
        <v>697</v>
      </c>
      <c r="B543" s="391" t="s">
        <v>611</v>
      </c>
      <c r="C543" s="391" t="s">
        <v>169</v>
      </c>
      <c r="D543" s="139" t="str">
        <f>VLOOKUP(C543,'Seznam HS - nemaš'!$A$1:$B$96,2,FALSE)</f>
        <v>411100</v>
      </c>
      <c r="E543" s="19" t="s">
        <v>1389</v>
      </c>
      <c r="F543" s="154" t="s">
        <v>565</v>
      </c>
      <c r="G543" s="154" t="s">
        <v>544</v>
      </c>
      <c r="H543" s="28">
        <f>+IF(ISBLANK(I543),0,VLOOKUP(I543,'8Příloha_2_ceník_pravid_úklid'!$B$9:$C$30,2,0))</f>
        <v>2</v>
      </c>
      <c r="I543" s="19" t="s">
        <v>2</v>
      </c>
      <c r="J543" s="155">
        <v>11.19</v>
      </c>
      <c r="K543" s="19" t="s">
        <v>51</v>
      </c>
      <c r="L543" s="146" t="s">
        <v>22</v>
      </c>
      <c r="M543" s="22" t="s">
        <v>49</v>
      </c>
      <c r="N543" s="24">
        <f>IF((VLOOKUP(I543,'8Příloha_2_ceník_pravid_úklid'!$B$9:$I$30,8,0))=0,VLOOKUP(I543,'8Příloha_2_ceník_pravid_úklid'!$B$9:$K$30,10,0),VLOOKUP(I543,'8Příloha_2_ceník_pravid_úklid'!$B$9:$I$30,8,0))</f>
        <v>0</v>
      </c>
      <c r="O543" s="20">
        <v>2</v>
      </c>
      <c r="P543" s="20">
        <v>1</v>
      </c>
      <c r="Q543" s="20">
        <v>2</v>
      </c>
      <c r="R543" s="20">
        <v>1</v>
      </c>
      <c r="S543" s="21">
        <f>NETWORKDAYS.INTL(DATE(2018,1,1),DATE(2018,12,31),1,{"2018/1/1";"2018/3/30";"2018/4/2";"2018/5/1";"2018/5/8";"2018/7/5";"2018/7/6";"2018/09/28";"2018/11/17";"2018/12/24";"2018/12/25";"2018/12/26"})</f>
        <v>250</v>
      </c>
      <c r="T543" s="21">
        <f t="shared" si="44"/>
        <v>115</v>
      </c>
      <c r="U543" s="21">
        <f t="shared" si="45"/>
        <v>365</v>
      </c>
      <c r="V543" s="311">
        <f t="shared" si="46"/>
        <v>730</v>
      </c>
      <c r="W543" s="140">
        <f t="shared" si="47"/>
        <v>0</v>
      </c>
      <c r="X543" s="141">
        <f t="shared" si="48"/>
        <v>0</v>
      </c>
      <c r="Y543" s="141">
        <v>0</v>
      </c>
    </row>
    <row r="544" spans="1:25" ht="15" x14ac:dyDescent="0.2">
      <c r="A544" s="276" t="s">
        <v>697</v>
      </c>
      <c r="B544" s="391" t="s">
        <v>611</v>
      </c>
      <c r="C544" s="391" t="s">
        <v>169</v>
      </c>
      <c r="D544" s="139" t="str">
        <f>VLOOKUP(C544,'Seznam HS - nemaš'!$A$1:$B$96,2,FALSE)</f>
        <v>411100</v>
      </c>
      <c r="E544" s="19" t="s">
        <v>1390</v>
      </c>
      <c r="F544" s="154" t="s">
        <v>492</v>
      </c>
      <c r="G544" s="154"/>
      <c r="H544" s="28">
        <f>+IF(ISBLANK(I544),0,VLOOKUP(I544,'8Příloha_2_ceník_pravid_úklid'!$B$9:$C$30,2,0))</f>
        <v>4</v>
      </c>
      <c r="I544" s="19" t="s">
        <v>9</v>
      </c>
      <c r="J544" s="155">
        <v>9.01</v>
      </c>
      <c r="K544" s="19" t="s">
        <v>51</v>
      </c>
      <c r="L544" s="146" t="s">
        <v>22</v>
      </c>
      <c r="M544" s="22" t="s">
        <v>49</v>
      </c>
      <c r="N544" s="24">
        <f>IF((VLOOKUP(I544,'8Příloha_2_ceník_pravid_úklid'!$B$9:$I$30,8,0))=0,VLOOKUP(I544,'8Příloha_2_ceník_pravid_úklid'!$B$9:$K$30,10,0),VLOOKUP(I544,'8Příloha_2_ceník_pravid_úklid'!$B$9:$I$30,8,0))</f>
        <v>0</v>
      </c>
      <c r="O544" s="20">
        <v>2</v>
      </c>
      <c r="P544" s="20">
        <v>1</v>
      </c>
      <c r="Q544" s="20">
        <v>2</v>
      </c>
      <c r="R544" s="20">
        <v>1</v>
      </c>
      <c r="S544" s="21">
        <f>NETWORKDAYS.INTL(DATE(2018,1,1),DATE(2018,12,31),1,{"2018/1/1";"2018/3/30";"2018/4/2";"2018/5/1";"2018/5/8";"2018/7/5";"2018/7/6";"2018/09/28";"2018/11/17";"2018/12/24";"2018/12/25";"2018/12/26"})</f>
        <v>250</v>
      </c>
      <c r="T544" s="21">
        <f t="shared" si="44"/>
        <v>115</v>
      </c>
      <c r="U544" s="21">
        <f t="shared" si="45"/>
        <v>365</v>
      </c>
      <c r="V544" s="311">
        <f t="shared" si="46"/>
        <v>730</v>
      </c>
      <c r="W544" s="140">
        <f t="shared" si="47"/>
        <v>0</v>
      </c>
      <c r="X544" s="141">
        <f t="shared" si="48"/>
        <v>0</v>
      </c>
      <c r="Y544" s="141">
        <v>0</v>
      </c>
    </row>
    <row r="545" spans="1:25" ht="15" x14ac:dyDescent="0.2">
      <c r="A545" s="276" t="s">
        <v>697</v>
      </c>
      <c r="B545" s="391" t="s">
        <v>611</v>
      </c>
      <c r="C545" s="391" t="s">
        <v>169</v>
      </c>
      <c r="D545" s="139" t="str">
        <f>VLOOKUP(C545,'Seznam HS - nemaš'!$A$1:$B$96,2,FALSE)</f>
        <v>411100</v>
      </c>
      <c r="E545" s="19" t="s">
        <v>1391</v>
      </c>
      <c r="F545" s="154" t="s">
        <v>437</v>
      </c>
      <c r="G545" s="154" t="s">
        <v>444</v>
      </c>
      <c r="H545" s="28">
        <f>+IF(ISBLANK(I545),0,VLOOKUP(I545,'8Příloha_2_ceník_pravid_úklid'!$B$9:$C$30,2,0))</f>
        <v>7</v>
      </c>
      <c r="I545" s="19" t="s">
        <v>14</v>
      </c>
      <c r="J545" s="155">
        <v>2.34</v>
      </c>
      <c r="K545" s="19" t="s">
        <v>50</v>
      </c>
      <c r="L545" s="146" t="s">
        <v>22</v>
      </c>
      <c r="M545" s="22" t="s">
        <v>49</v>
      </c>
      <c r="N545" s="24">
        <f>IF((VLOOKUP(I545,'8Příloha_2_ceník_pravid_úklid'!$B$9:$I$30,8,0))=0,VLOOKUP(I545,'8Příloha_2_ceník_pravid_úklid'!$B$9:$K$30,10,0),VLOOKUP(I545,'8Příloha_2_ceník_pravid_úklid'!$B$9:$I$30,8,0))</f>
        <v>0</v>
      </c>
      <c r="O545" s="20">
        <v>2</v>
      </c>
      <c r="P545" s="20">
        <v>1</v>
      </c>
      <c r="Q545" s="20">
        <v>2</v>
      </c>
      <c r="R545" s="20">
        <v>1</v>
      </c>
      <c r="S545" s="21">
        <f>NETWORKDAYS.INTL(DATE(2018,1,1),DATE(2018,12,31),1,{"2018/1/1";"2018/3/30";"2018/4/2";"2018/5/1";"2018/5/8";"2018/7/5";"2018/7/6";"2018/09/28";"2018/11/17";"2018/12/24";"2018/12/25";"2018/12/26"})</f>
        <v>250</v>
      </c>
      <c r="T545" s="21">
        <f t="shared" si="44"/>
        <v>115</v>
      </c>
      <c r="U545" s="21">
        <f t="shared" si="45"/>
        <v>365</v>
      </c>
      <c r="V545" s="311">
        <f t="shared" si="46"/>
        <v>730</v>
      </c>
      <c r="W545" s="140">
        <f t="shared" si="47"/>
        <v>0</v>
      </c>
      <c r="X545" s="141">
        <f t="shared" si="48"/>
        <v>0</v>
      </c>
      <c r="Y545" s="141">
        <v>0</v>
      </c>
    </row>
    <row r="546" spans="1:25" ht="15" x14ac:dyDescent="0.2">
      <c r="A546" s="276" t="s">
        <v>697</v>
      </c>
      <c r="B546" s="391" t="s">
        <v>611</v>
      </c>
      <c r="C546" s="391" t="s">
        <v>169</v>
      </c>
      <c r="D546" s="139" t="str">
        <f>VLOOKUP(C546,'Seznam HS - nemaš'!$A$1:$B$96,2,FALSE)</f>
        <v>411100</v>
      </c>
      <c r="E546" s="19" t="s">
        <v>1392</v>
      </c>
      <c r="F546" s="154" t="s">
        <v>437</v>
      </c>
      <c r="G546" s="154"/>
      <c r="H546" s="28">
        <f>+IF(ISBLANK(I546),0,VLOOKUP(I546,'8Příloha_2_ceník_pravid_úklid'!$B$9:$C$30,2,0))</f>
        <v>7</v>
      </c>
      <c r="I546" s="19" t="s">
        <v>14</v>
      </c>
      <c r="J546" s="155">
        <v>1.28</v>
      </c>
      <c r="K546" s="19" t="s">
        <v>50</v>
      </c>
      <c r="L546" s="146" t="s">
        <v>22</v>
      </c>
      <c r="M546" s="22" t="s">
        <v>49</v>
      </c>
      <c r="N546" s="24">
        <f>IF((VLOOKUP(I546,'8Příloha_2_ceník_pravid_úklid'!$B$9:$I$30,8,0))=0,VLOOKUP(I546,'8Příloha_2_ceník_pravid_úklid'!$B$9:$K$30,10,0),VLOOKUP(I546,'8Příloha_2_ceník_pravid_úklid'!$B$9:$I$30,8,0))</f>
        <v>0</v>
      </c>
      <c r="O546" s="20">
        <v>2</v>
      </c>
      <c r="P546" s="20">
        <v>1</v>
      </c>
      <c r="Q546" s="20">
        <v>2</v>
      </c>
      <c r="R546" s="20">
        <v>1</v>
      </c>
      <c r="S546" s="21">
        <f>NETWORKDAYS.INTL(DATE(2018,1,1),DATE(2018,12,31),1,{"2018/1/1";"2018/3/30";"2018/4/2";"2018/5/1";"2018/5/8";"2018/7/5";"2018/7/6";"2018/09/28";"2018/11/17";"2018/12/24";"2018/12/25";"2018/12/26"})</f>
        <v>250</v>
      </c>
      <c r="T546" s="21">
        <f t="shared" si="44"/>
        <v>115</v>
      </c>
      <c r="U546" s="21">
        <f t="shared" si="45"/>
        <v>365</v>
      </c>
      <c r="V546" s="311">
        <f t="shared" si="46"/>
        <v>730</v>
      </c>
      <c r="W546" s="140">
        <f t="shared" si="47"/>
        <v>0</v>
      </c>
      <c r="X546" s="141">
        <f t="shared" si="48"/>
        <v>0</v>
      </c>
      <c r="Y546" s="141">
        <v>0</v>
      </c>
    </row>
    <row r="547" spans="1:25" ht="15" x14ac:dyDescent="0.2">
      <c r="A547" s="276" t="s">
        <v>697</v>
      </c>
      <c r="B547" s="391" t="s">
        <v>611</v>
      </c>
      <c r="C547" s="391" t="s">
        <v>169</v>
      </c>
      <c r="D547" s="139" t="str">
        <f>VLOOKUP(C547,'Seznam HS - nemaš'!$A$1:$B$96,2,FALSE)</f>
        <v>411100</v>
      </c>
      <c r="E547" s="19" t="s">
        <v>1393</v>
      </c>
      <c r="F547" s="154" t="s">
        <v>893</v>
      </c>
      <c r="G547" s="154"/>
      <c r="H547" s="28">
        <f>+IF(ISBLANK(I547),0,VLOOKUP(I547,'8Příloha_2_ceník_pravid_úklid'!$B$9:$C$30,2,0))</f>
        <v>7</v>
      </c>
      <c r="I547" s="19" t="s">
        <v>14</v>
      </c>
      <c r="J547" s="155">
        <v>1.21</v>
      </c>
      <c r="K547" s="19" t="s">
        <v>50</v>
      </c>
      <c r="L547" s="146" t="s">
        <v>22</v>
      </c>
      <c r="M547" s="22" t="s">
        <v>49</v>
      </c>
      <c r="N547" s="24">
        <f>IF((VLOOKUP(I547,'8Příloha_2_ceník_pravid_úklid'!$B$9:$I$30,8,0))=0,VLOOKUP(I547,'8Příloha_2_ceník_pravid_úklid'!$B$9:$K$30,10,0),VLOOKUP(I547,'8Příloha_2_ceník_pravid_úklid'!$B$9:$I$30,8,0))</f>
        <v>0</v>
      </c>
      <c r="O547" s="20">
        <v>2</v>
      </c>
      <c r="P547" s="20">
        <v>1</v>
      </c>
      <c r="Q547" s="20">
        <v>2</v>
      </c>
      <c r="R547" s="20">
        <v>1</v>
      </c>
      <c r="S547" s="21">
        <f>NETWORKDAYS.INTL(DATE(2018,1,1),DATE(2018,12,31),1,{"2018/1/1";"2018/3/30";"2018/4/2";"2018/5/1";"2018/5/8";"2018/7/5";"2018/7/6";"2018/09/28";"2018/11/17";"2018/12/24";"2018/12/25";"2018/12/26"})</f>
        <v>250</v>
      </c>
      <c r="T547" s="21">
        <f t="shared" si="44"/>
        <v>115</v>
      </c>
      <c r="U547" s="21">
        <f t="shared" si="45"/>
        <v>365</v>
      </c>
      <c r="V547" s="311">
        <f t="shared" si="46"/>
        <v>730</v>
      </c>
      <c r="W547" s="140">
        <f t="shared" si="47"/>
        <v>0</v>
      </c>
      <c r="X547" s="141">
        <f t="shared" si="48"/>
        <v>0</v>
      </c>
      <c r="Y547" s="141">
        <v>0</v>
      </c>
    </row>
    <row r="548" spans="1:25" ht="15" x14ac:dyDescent="0.2">
      <c r="A548" s="276" t="s">
        <v>697</v>
      </c>
      <c r="B548" s="391" t="s">
        <v>611</v>
      </c>
      <c r="C548" s="391" t="s">
        <v>169</v>
      </c>
      <c r="D548" s="139" t="str">
        <f>VLOOKUP(C548,'Seznam HS - nemaš'!$A$1:$B$96,2,FALSE)</f>
        <v>411100</v>
      </c>
      <c r="E548" s="19" t="s">
        <v>1394</v>
      </c>
      <c r="F548" s="154" t="s">
        <v>893</v>
      </c>
      <c r="G548" s="154"/>
      <c r="H548" s="28">
        <f>+IF(ISBLANK(I548),0,VLOOKUP(I548,'8Příloha_2_ceník_pravid_úklid'!$B$9:$C$30,2,0))</f>
        <v>7</v>
      </c>
      <c r="I548" s="19" t="s">
        <v>14</v>
      </c>
      <c r="J548" s="155">
        <v>5.18</v>
      </c>
      <c r="K548" s="19" t="s">
        <v>50</v>
      </c>
      <c r="L548" s="146" t="s">
        <v>22</v>
      </c>
      <c r="M548" s="22" t="s">
        <v>49</v>
      </c>
      <c r="N548" s="24">
        <f>IF((VLOOKUP(I548,'8Příloha_2_ceník_pravid_úklid'!$B$9:$I$30,8,0))=0,VLOOKUP(I548,'8Příloha_2_ceník_pravid_úklid'!$B$9:$K$30,10,0),VLOOKUP(I548,'8Příloha_2_ceník_pravid_úklid'!$B$9:$I$30,8,0))</f>
        <v>0</v>
      </c>
      <c r="O548" s="20">
        <v>2</v>
      </c>
      <c r="P548" s="20">
        <v>1</v>
      </c>
      <c r="Q548" s="20">
        <v>2</v>
      </c>
      <c r="R548" s="20">
        <v>1</v>
      </c>
      <c r="S548" s="21">
        <f>NETWORKDAYS.INTL(DATE(2018,1,1),DATE(2018,12,31),1,{"2018/1/1";"2018/3/30";"2018/4/2";"2018/5/1";"2018/5/8";"2018/7/5";"2018/7/6";"2018/09/28";"2018/11/17";"2018/12/24";"2018/12/25";"2018/12/26"})</f>
        <v>250</v>
      </c>
      <c r="T548" s="21">
        <f t="shared" si="44"/>
        <v>115</v>
      </c>
      <c r="U548" s="21">
        <f t="shared" si="45"/>
        <v>365</v>
      </c>
      <c r="V548" s="311">
        <f t="shared" si="46"/>
        <v>730</v>
      </c>
      <c r="W548" s="140">
        <f t="shared" si="47"/>
        <v>0</v>
      </c>
      <c r="X548" s="141">
        <f t="shared" si="48"/>
        <v>0</v>
      </c>
      <c r="Y548" s="141">
        <v>0</v>
      </c>
    </row>
    <row r="549" spans="1:25" ht="15" x14ac:dyDescent="0.2">
      <c r="A549" s="276" t="s">
        <v>697</v>
      </c>
      <c r="B549" s="391" t="s">
        <v>611</v>
      </c>
      <c r="C549" s="391" t="s">
        <v>169</v>
      </c>
      <c r="D549" s="139" t="str">
        <f>VLOOKUP(C549,'Seznam HS - nemaš'!$A$1:$B$96,2,FALSE)</f>
        <v>411100</v>
      </c>
      <c r="E549" s="19" t="s">
        <v>1395</v>
      </c>
      <c r="F549" s="154" t="s">
        <v>389</v>
      </c>
      <c r="G549" s="154" t="s">
        <v>1396</v>
      </c>
      <c r="H549" s="28">
        <f>+IF(ISBLANK(I549),0,VLOOKUP(I549,'8Příloha_2_ceník_pravid_úklid'!$B$9:$C$30,2,0))</f>
        <v>17</v>
      </c>
      <c r="I549" s="19" t="s">
        <v>13</v>
      </c>
      <c r="J549" s="155">
        <v>4.72</v>
      </c>
      <c r="K549" s="19" t="s">
        <v>50</v>
      </c>
      <c r="L549" s="146" t="s">
        <v>22</v>
      </c>
      <c r="M549" s="22" t="s">
        <v>49</v>
      </c>
      <c r="N549" s="24">
        <f>IF((VLOOKUP(I549,'8Příloha_2_ceník_pravid_úklid'!$B$9:$I$30,8,0))=0,VLOOKUP(I549,'8Příloha_2_ceník_pravid_úklid'!$B$9:$K$30,10,0),VLOOKUP(I549,'8Příloha_2_ceník_pravid_úklid'!$B$9:$I$30,8,0))</f>
        <v>0</v>
      </c>
      <c r="O549" s="20">
        <v>2</v>
      </c>
      <c r="P549" s="20">
        <v>1</v>
      </c>
      <c r="Q549" s="20">
        <v>2</v>
      </c>
      <c r="R549" s="20">
        <v>1</v>
      </c>
      <c r="S549" s="21">
        <f>NETWORKDAYS.INTL(DATE(2018,1,1),DATE(2018,12,31),1,{"2018/1/1";"2018/3/30";"2018/4/2";"2018/5/1";"2018/5/8";"2018/7/5";"2018/7/6";"2018/09/28";"2018/11/17";"2018/12/24";"2018/12/25";"2018/12/26"})</f>
        <v>250</v>
      </c>
      <c r="T549" s="21">
        <f t="shared" si="44"/>
        <v>115</v>
      </c>
      <c r="U549" s="21">
        <f t="shared" si="45"/>
        <v>365</v>
      </c>
      <c r="V549" s="311">
        <f t="shared" si="46"/>
        <v>730</v>
      </c>
      <c r="W549" s="140">
        <f t="shared" si="47"/>
        <v>0</v>
      </c>
      <c r="X549" s="141">
        <f t="shared" si="48"/>
        <v>0</v>
      </c>
      <c r="Y549" s="141">
        <v>0</v>
      </c>
    </row>
    <row r="550" spans="1:25" ht="15" x14ac:dyDescent="0.2">
      <c r="A550" s="235" t="s">
        <v>762</v>
      </c>
      <c r="B550" s="396" t="s">
        <v>611</v>
      </c>
      <c r="C550" s="396"/>
      <c r="D550" s="535">
        <f>VLOOKUP(C550,'Seznam HS - nemaš'!$A$1:$B$96,2,FALSE)</f>
        <v>0</v>
      </c>
      <c r="E550" s="229" t="s">
        <v>1397</v>
      </c>
      <c r="F550" s="238" t="s">
        <v>766</v>
      </c>
      <c r="G550" s="238"/>
      <c r="H550" s="224">
        <f>+IF(ISBLANK(I550),0,VLOOKUP(I550,'8Příloha_2_ceník_pravid_úklid'!$B$9:$C$30,2,0))</f>
        <v>0</v>
      </c>
      <c r="I550" s="229"/>
      <c r="J550" s="233">
        <v>4.96</v>
      </c>
      <c r="K550" s="229"/>
      <c r="L550" s="242" t="s">
        <v>387</v>
      </c>
      <c r="M550" s="237"/>
      <c r="N550" s="229" t="s">
        <v>501</v>
      </c>
      <c r="O550" s="230">
        <v>0</v>
      </c>
      <c r="P550" s="230">
        <v>0</v>
      </c>
      <c r="Q550" s="230">
        <v>0</v>
      </c>
      <c r="R550" s="230">
        <v>0</v>
      </c>
      <c r="S550" s="231">
        <f>NETWORKDAYS.INTL(DATE(2018,1,1),DATE(2018,12,31),1,{"2018/1/1";"2018/3/30";"2018/4/2";"2018/5/1";"2018/5/8";"2018/7/5";"2018/7/6";"2018/09/28";"2018/11/17";"2018/12/24";"2018/12/25";"2018/12/26"})</f>
        <v>250</v>
      </c>
      <c r="T550" s="231">
        <f t="shared" si="44"/>
        <v>115</v>
      </c>
      <c r="U550" s="231">
        <f t="shared" si="45"/>
        <v>365</v>
      </c>
      <c r="V550" s="312">
        <f t="shared" si="46"/>
        <v>0</v>
      </c>
      <c r="W550" s="233">
        <f t="shared" si="47"/>
        <v>0</v>
      </c>
      <c r="X550" s="234">
        <f t="shared" si="48"/>
        <v>0</v>
      </c>
      <c r="Y550" s="234">
        <f t="shared" si="48"/>
        <v>0</v>
      </c>
    </row>
    <row r="551" spans="1:25" ht="15" x14ac:dyDescent="0.2">
      <c r="A551" s="235" t="s">
        <v>762</v>
      </c>
      <c r="B551" s="396" t="s">
        <v>611</v>
      </c>
      <c r="C551" s="396"/>
      <c r="D551" s="535">
        <f>VLOOKUP(C551,'Seznam HS - nemaš'!$A$1:$B$96,2,FALSE)</f>
        <v>0</v>
      </c>
      <c r="E551" s="229" t="s">
        <v>1398</v>
      </c>
      <c r="F551" s="238" t="s">
        <v>764</v>
      </c>
      <c r="G551" s="238"/>
      <c r="H551" s="224">
        <f>+IF(ISBLANK(I551),0,VLOOKUP(I551,'8Příloha_2_ceník_pravid_úklid'!$B$9:$C$30,2,0))</f>
        <v>0</v>
      </c>
      <c r="I551" s="229"/>
      <c r="J551" s="233">
        <v>7.36</v>
      </c>
      <c r="K551" s="229"/>
      <c r="L551" s="242" t="s">
        <v>387</v>
      </c>
      <c r="M551" s="237"/>
      <c r="N551" s="229" t="s">
        <v>501</v>
      </c>
      <c r="O551" s="230">
        <v>0</v>
      </c>
      <c r="P551" s="230">
        <v>0</v>
      </c>
      <c r="Q551" s="230">
        <v>0</v>
      </c>
      <c r="R551" s="230">
        <v>0</v>
      </c>
      <c r="S551" s="231">
        <f>NETWORKDAYS.INTL(DATE(2018,1,1),DATE(2018,12,31),1,{"2018/1/1";"2018/3/30";"2018/4/2";"2018/5/1";"2018/5/8";"2018/7/5";"2018/7/6";"2018/09/28";"2018/11/17";"2018/12/24";"2018/12/25";"2018/12/26"})</f>
        <v>250</v>
      </c>
      <c r="T551" s="231">
        <f t="shared" si="44"/>
        <v>115</v>
      </c>
      <c r="U551" s="231">
        <f t="shared" si="45"/>
        <v>365</v>
      </c>
      <c r="V551" s="312">
        <f t="shared" si="46"/>
        <v>0</v>
      </c>
      <c r="W551" s="233">
        <f t="shared" si="47"/>
        <v>0</v>
      </c>
      <c r="X551" s="234">
        <f t="shared" si="48"/>
        <v>0</v>
      </c>
      <c r="Y551" s="234">
        <f t="shared" si="48"/>
        <v>0</v>
      </c>
    </row>
    <row r="552" spans="1:25" ht="15" x14ac:dyDescent="0.2">
      <c r="A552" s="276" t="s">
        <v>767</v>
      </c>
      <c r="B552" s="391" t="s">
        <v>611</v>
      </c>
      <c r="C552" s="391"/>
      <c r="D552" s="139">
        <f>VLOOKUP(C552,'Seznam HS - nemaš'!$A$1:$B$96,2,FALSE)</f>
        <v>0</v>
      </c>
      <c r="E552" s="19" t="s">
        <v>1399</v>
      </c>
      <c r="F552" s="154" t="s">
        <v>350</v>
      </c>
      <c r="G552" s="154" t="s">
        <v>955</v>
      </c>
      <c r="H552" s="28">
        <f>+IF(ISBLANK(I552),0,VLOOKUP(I552,'8Příloha_2_ceník_pravid_úklid'!$B$9:$C$30,2,0))</f>
        <v>6</v>
      </c>
      <c r="I552" s="19" t="s">
        <v>1</v>
      </c>
      <c r="J552" s="155">
        <v>37.47</v>
      </c>
      <c r="K552" s="19" t="s">
        <v>50</v>
      </c>
      <c r="L552" s="146" t="s">
        <v>559</v>
      </c>
      <c r="M552" s="22" t="s">
        <v>49</v>
      </c>
      <c r="N552" s="24">
        <f>IF((VLOOKUP(I552,'8Příloha_2_ceník_pravid_úklid'!$B$9:$I$30,8,0))=0,VLOOKUP(I552,'8Příloha_2_ceník_pravid_úklid'!$B$9:$K$30,10,0),VLOOKUP(I552,'8Příloha_2_ceník_pravid_úklid'!$B$9:$I$30,8,0))</f>
        <v>0</v>
      </c>
      <c r="O552" s="20">
        <v>3</v>
      </c>
      <c r="P552" s="20">
        <v>1</v>
      </c>
      <c r="Q552" s="20">
        <v>3</v>
      </c>
      <c r="R552" s="20">
        <v>1</v>
      </c>
      <c r="S552" s="21">
        <f>NETWORKDAYS.INTL(DATE(2018,1,1),DATE(2018,12,31),1,{"2018/1/1";"2018/3/30";"2018/4/2";"2018/5/1";"2018/5/8";"2018/7/5";"2018/7/6";"2018/09/28";"2018/11/17";"2018/12/24";"2018/12/25";"2018/12/26"})</f>
        <v>250</v>
      </c>
      <c r="T552" s="21">
        <f t="shared" si="44"/>
        <v>115</v>
      </c>
      <c r="U552" s="21">
        <f t="shared" si="45"/>
        <v>365</v>
      </c>
      <c r="V552" s="311">
        <f t="shared" si="46"/>
        <v>1095</v>
      </c>
      <c r="W552" s="140">
        <f t="shared" si="47"/>
        <v>0</v>
      </c>
      <c r="X552" s="141">
        <f t="shared" si="48"/>
        <v>0</v>
      </c>
      <c r="Y552" s="141">
        <v>0</v>
      </c>
    </row>
    <row r="553" spans="1:25" ht="15" x14ac:dyDescent="0.2">
      <c r="A553" s="276" t="s">
        <v>1400</v>
      </c>
      <c r="B553" s="391" t="s">
        <v>611</v>
      </c>
      <c r="C553" s="391"/>
      <c r="D553" s="139">
        <f>VLOOKUP(C553,'Seznam HS - nemaš'!$A$1:$B$96,2,FALSE)</f>
        <v>0</v>
      </c>
      <c r="E553" s="19" t="s">
        <v>1401</v>
      </c>
      <c r="F553" s="154" t="s">
        <v>53</v>
      </c>
      <c r="G553" s="154" t="s">
        <v>1201</v>
      </c>
      <c r="H553" s="28">
        <f>+IF(ISBLANK(I553),0,VLOOKUP(I553,'8Příloha_2_ceník_pravid_úklid'!$B$9:$C$30,2,0))</f>
        <v>6</v>
      </c>
      <c r="I553" s="19" t="s">
        <v>1</v>
      </c>
      <c r="J553" s="155">
        <v>7.02</v>
      </c>
      <c r="K553" s="19" t="s">
        <v>51</v>
      </c>
      <c r="L553" s="146" t="s">
        <v>559</v>
      </c>
      <c r="M553" s="22" t="s">
        <v>49</v>
      </c>
      <c r="N553" s="24">
        <f>IF((VLOOKUP(I553,'8Příloha_2_ceník_pravid_úklid'!$B$9:$I$30,8,0))=0,VLOOKUP(I553,'8Příloha_2_ceník_pravid_úklid'!$B$9:$K$30,10,0),VLOOKUP(I553,'8Příloha_2_ceník_pravid_úklid'!$B$9:$I$30,8,0))</f>
        <v>0</v>
      </c>
      <c r="O553" s="20">
        <v>3</v>
      </c>
      <c r="P553" s="20">
        <v>1</v>
      </c>
      <c r="Q553" s="20">
        <v>3</v>
      </c>
      <c r="R553" s="20">
        <v>1</v>
      </c>
      <c r="S553" s="21">
        <f>NETWORKDAYS.INTL(DATE(2018,1,1),DATE(2018,12,31),1,{"2018/1/1";"2018/3/30";"2018/4/2";"2018/5/1";"2018/5/8";"2018/7/5";"2018/7/6";"2018/09/28";"2018/11/17";"2018/12/24";"2018/12/25";"2018/12/26"})</f>
        <v>250</v>
      </c>
      <c r="T553" s="21">
        <f t="shared" si="44"/>
        <v>115</v>
      </c>
      <c r="U553" s="21">
        <f t="shared" si="45"/>
        <v>365</v>
      </c>
      <c r="V553" s="311">
        <f t="shared" si="46"/>
        <v>1095</v>
      </c>
      <c r="W553" s="140">
        <f t="shared" si="47"/>
        <v>0</v>
      </c>
      <c r="X553" s="141">
        <f t="shared" si="48"/>
        <v>0</v>
      </c>
      <c r="Y553" s="141">
        <v>0</v>
      </c>
    </row>
    <row r="554" spans="1:25" ht="15" x14ac:dyDescent="0.2">
      <c r="A554" s="276" t="s">
        <v>767</v>
      </c>
      <c r="B554" s="391" t="s">
        <v>611</v>
      </c>
      <c r="C554" s="391"/>
      <c r="D554" s="139">
        <f>VLOOKUP(C554,'Seznam HS - nemaš'!$A$1:$B$96,2,FALSE)</f>
        <v>0</v>
      </c>
      <c r="E554" s="19" t="s">
        <v>1402</v>
      </c>
      <c r="F554" s="154" t="s">
        <v>336</v>
      </c>
      <c r="G554" s="154" t="s">
        <v>1403</v>
      </c>
      <c r="H554" s="28">
        <f>+IF(ISBLANK(I554),0,VLOOKUP(I554,'8Příloha_2_ceník_pravid_úklid'!$B$9:$C$30,2,0))</f>
        <v>8</v>
      </c>
      <c r="I554" s="19" t="s">
        <v>11</v>
      </c>
      <c r="J554" s="155">
        <v>22.32</v>
      </c>
      <c r="K554" s="19" t="s">
        <v>64</v>
      </c>
      <c r="L554" s="393" t="s">
        <v>956</v>
      </c>
      <c r="M554" s="22" t="s">
        <v>49</v>
      </c>
      <c r="N554" s="24">
        <f>IF((VLOOKUP(I554,'8Příloha_2_ceník_pravid_úklid'!$B$9:$I$30,8,0))=0,VLOOKUP(I554,'8Příloha_2_ceník_pravid_úklid'!$B$9:$K$30,10,0),VLOOKUP(I554,'8Příloha_2_ceník_pravid_úklid'!$B$9:$I$30,8,0))</f>
        <v>0</v>
      </c>
      <c r="O554" s="20">
        <v>2</v>
      </c>
      <c r="P554" s="20">
        <v>1</v>
      </c>
      <c r="Q554" s="20">
        <v>1</v>
      </c>
      <c r="R554" s="20">
        <v>1</v>
      </c>
      <c r="S554" s="21">
        <f>NETWORKDAYS.INTL(DATE(2018,1,1),DATE(2018,12,31),1,{"2018/1/1";"2018/3/30";"2018/4/2";"2018/5/1";"2018/5/8";"2018/7/5";"2018/7/6";"2018/09/28";"2018/11/17";"2018/12/24";"2018/12/25";"2018/12/26"})</f>
        <v>250</v>
      </c>
      <c r="T554" s="21">
        <f t="shared" si="44"/>
        <v>115</v>
      </c>
      <c r="U554" s="21">
        <f t="shared" si="45"/>
        <v>365</v>
      </c>
      <c r="V554" s="311">
        <f t="shared" si="46"/>
        <v>615</v>
      </c>
      <c r="W554" s="140">
        <f t="shared" si="47"/>
        <v>0</v>
      </c>
      <c r="X554" s="141">
        <f t="shared" si="48"/>
        <v>0</v>
      </c>
      <c r="Y554" s="141">
        <v>0</v>
      </c>
    </row>
    <row r="555" spans="1:25" ht="15" x14ac:dyDescent="0.2">
      <c r="A555" s="276" t="s">
        <v>1345</v>
      </c>
      <c r="B555" s="391" t="s">
        <v>611</v>
      </c>
      <c r="C555" s="391" t="s">
        <v>209</v>
      </c>
      <c r="D555" s="139" t="str">
        <f>VLOOKUP(C555,'Seznam HS - nemaš'!$A$1:$B$96,2,FALSE)</f>
        <v>438100</v>
      </c>
      <c r="E555" s="19" t="s">
        <v>1404</v>
      </c>
      <c r="F555" s="154" t="s">
        <v>633</v>
      </c>
      <c r="G555" s="154"/>
      <c r="H555" s="28">
        <f>+IF(ISBLANK(I555),0,VLOOKUP(I555,'8Příloha_2_ceník_pravid_úklid'!$B$9:$C$30,2,0))</f>
        <v>4</v>
      </c>
      <c r="I555" s="19" t="s">
        <v>9</v>
      </c>
      <c r="J555" s="155">
        <v>13.09</v>
      </c>
      <c r="K555" s="19" t="s">
        <v>51</v>
      </c>
      <c r="L555" s="146" t="s">
        <v>89</v>
      </c>
      <c r="M555" s="22" t="s">
        <v>49</v>
      </c>
      <c r="N555" s="24">
        <f>IF((VLOOKUP(I555,'8Příloha_2_ceník_pravid_úklid'!$B$9:$I$30,8,0))=0,VLOOKUP(I555,'8Příloha_2_ceník_pravid_úklid'!$B$9:$K$30,10,0),VLOOKUP(I555,'8Příloha_2_ceník_pravid_úklid'!$B$9:$I$30,8,0))</f>
        <v>0</v>
      </c>
      <c r="O555" s="20">
        <v>1</v>
      </c>
      <c r="P555" s="20">
        <v>1</v>
      </c>
      <c r="Q555" s="20">
        <v>0</v>
      </c>
      <c r="R555" s="20">
        <v>0</v>
      </c>
      <c r="S555" s="21">
        <f>NETWORKDAYS.INTL(DATE(2018,1,1),DATE(2018,12,31),1,{"2018/1/1";"2018/3/30";"2018/4/2";"2018/5/1";"2018/5/8";"2018/7/5";"2018/7/6";"2018/09/28";"2018/11/17";"2018/12/24";"2018/12/25";"2018/12/26"})</f>
        <v>250</v>
      </c>
      <c r="T555" s="21">
        <f t="shared" si="44"/>
        <v>115</v>
      </c>
      <c r="U555" s="21">
        <f t="shared" si="45"/>
        <v>365</v>
      </c>
      <c r="V555" s="311">
        <f t="shared" si="46"/>
        <v>250</v>
      </c>
      <c r="W555" s="140">
        <f t="shared" si="47"/>
        <v>0</v>
      </c>
      <c r="X555" s="141">
        <f t="shared" si="48"/>
        <v>0</v>
      </c>
      <c r="Y555" s="141">
        <v>0</v>
      </c>
    </row>
    <row r="556" spans="1:25" ht="15" x14ac:dyDescent="0.2">
      <c r="A556" s="276" t="s">
        <v>1345</v>
      </c>
      <c r="B556" s="391" t="s">
        <v>611</v>
      </c>
      <c r="C556" s="391" t="s">
        <v>209</v>
      </c>
      <c r="D556" s="139" t="str">
        <f>VLOOKUP(C556,'Seznam HS - nemaš'!$A$1:$B$96,2,FALSE)</f>
        <v>438100</v>
      </c>
      <c r="E556" s="19" t="s">
        <v>1405</v>
      </c>
      <c r="F556" s="154" t="s">
        <v>565</v>
      </c>
      <c r="G556" s="154"/>
      <c r="H556" s="28">
        <f>+IF(ISBLANK(I556),0,VLOOKUP(I556,'8Příloha_2_ceník_pravid_úklid'!$B$9:$C$30,2,0))</f>
        <v>2</v>
      </c>
      <c r="I556" s="19" t="s">
        <v>2</v>
      </c>
      <c r="J556" s="155">
        <v>10.9</v>
      </c>
      <c r="K556" s="19" t="s">
        <v>51</v>
      </c>
      <c r="L556" s="146" t="s">
        <v>22</v>
      </c>
      <c r="M556" s="22" t="s">
        <v>49</v>
      </c>
      <c r="N556" s="24">
        <f>IF((VLOOKUP(I556,'8Příloha_2_ceník_pravid_úklid'!$B$9:$I$30,8,0))=0,VLOOKUP(I556,'8Příloha_2_ceník_pravid_úklid'!$B$9:$K$30,10,0),VLOOKUP(I556,'8Příloha_2_ceník_pravid_úklid'!$B$9:$I$30,8,0))</f>
        <v>0</v>
      </c>
      <c r="O556" s="20">
        <v>2</v>
      </c>
      <c r="P556" s="20">
        <v>1</v>
      </c>
      <c r="Q556" s="20">
        <v>2</v>
      </c>
      <c r="R556" s="20">
        <v>1</v>
      </c>
      <c r="S556" s="21">
        <f>NETWORKDAYS.INTL(DATE(2018,1,1),DATE(2018,12,31),1,{"2018/1/1";"2018/3/30";"2018/4/2";"2018/5/1";"2018/5/8";"2018/7/5";"2018/7/6";"2018/09/28";"2018/11/17";"2018/12/24";"2018/12/25";"2018/12/26"})</f>
        <v>250</v>
      </c>
      <c r="T556" s="21">
        <f t="shared" si="44"/>
        <v>115</v>
      </c>
      <c r="U556" s="21">
        <f t="shared" si="45"/>
        <v>365</v>
      </c>
      <c r="V556" s="311">
        <f t="shared" si="46"/>
        <v>730</v>
      </c>
      <c r="W556" s="140">
        <f t="shared" si="47"/>
        <v>0</v>
      </c>
      <c r="X556" s="141">
        <f t="shared" si="48"/>
        <v>0</v>
      </c>
      <c r="Y556" s="141">
        <v>0</v>
      </c>
    </row>
    <row r="557" spans="1:25" ht="15" x14ac:dyDescent="0.2">
      <c r="A557" s="276" t="s">
        <v>1345</v>
      </c>
      <c r="B557" s="391" t="s">
        <v>611</v>
      </c>
      <c r="C557" s="391" t="s">
        <v>209</v>
      </c>
      <c r="D557" s="139" t="str">
        <f>VLOOKUP(C557,'Seznam HS - nemaš'!$A$1:$B$96,2,FALSE)</f>
        <v>438100</v>
      </c>
      <c r="E557" s="19" t="s">
        <v>1406</v>
      </c>
      <c r="F557" s="154" t="s">
        <v>53</v>
      </c>
      <c r="G557" s="154"/>
      <c r="H557" s="28">
        <f>+IF(ISBLANK(I557),0,VLOOKUP(I557,'8Příloha_2_ceník_pravid_úklid'!$B$9:$C$30,2,0))</f>
        <v>6</v>
      </c>
      <c r="I557" s="19" t="s">
        <v>1</v>
      </c>
      <c r="J557" s="155">
        <v>14.03</v>
      </c>
      <c r="K557" s="19" t="s">
        <v>51</v>
      </c>
      <c r="L557" s="146" t="s">
        <v>22</v>
      </c>
      <c r="M557" s="22" t="s">
        <v>49</v>
      </c>
      <c r="N557" s="24">
        <f>IF((VLOOKUP(I557,'8Příloha_2_ceník_pravid_úklid'!$B$9:$I$30,8,0))=0,VLOOKUP(I557,'8Příloha_2_ceník_pravid_úklid'!$B$9:$K$30,10,0),VLOOKUP(I557,'8Příloha_2_ceník_pravid_úklid'!$B$9:$I$30,8,0))</f>
        <v>0</v>
      </c>
      <c r="O557" s="20">
        <v>2</v>
      </c>
      <c r="P557" s="20">
        <v>1</v>
      </c>
      <c r="Q557" s="20">
        <v>2</v>
      </c>
      <c r="R557" s="20">
        <v>1</v>
      </c>
      <c r="S557" s="21">
        <f>NETWORKDAYS.INTL(DATE(2018,1,1),DATE(2018,12,31),1,{"2018/1/1";"2018/3/30";"2018/4/2";"2018/5/1";"2018/5/8";"2018/7/5";"2018/7/6";"2018/09/28";"2018/11/17";"2018/12/24";"2018/12/25";"2018/12/26"})</f>
        <v>250</v>
      </c>
      <c r="T557" s="21">
        <f t="shared" si="44"/>
        <v>115</v>
      </c>
      <c r="U557" s="21">
        <f t="shared" si="45"/>
        <v>365</v>
      </c>
      <c r="V557" s="311">
        <f t="shared" si="46"/>
        <v>730</v>
      </c>
      <c r="W557" s="140">
        <f t="shared" si="47"/>
        <v>0</v>
      </c>
      <c r="X557" s="141">
        <f t="shared" si="48"/>
        <v>0</v>
      </c>
      <c r="Y557" s="141">
        <v>0</v>
      </c>
    </row>
    <row r="558" spans="1:25" ht="15" x14ac:dyDescent="0.2">
      <c r="A558" s="276" t="s">
        <v>1345</v>
      </c>
      <c r="B558" s="391" t="s">
        <v>611</v>
      </c>
      <c r="C558" s="391" t="s">
        <v>209</v>
      </c>
      <c r="D558" s="139" t="str">
        <f>VLOOKUP(C558,'Seznam HS - nemaš'!$A$1:$B$96,2,FALSE)</f>
        <v>438100</v>
      </c>
      <c r="E558" s="19" t="s">
        <v>1407</v>
      </c>
      <c r="F558" s="154" t="s">
        <v>53</v>
      </c>
      <c r="G558" s="154"/>
      <c r="H558" s="28">
        <f>+IF(ISBLANK(I558),0,VLOOKUP(I558,'8Příloha_2_ceník_pravid_úklid'!$B$9:$C$30,2,0))</f>
        <v>6</v>
      </c>
      <c r="I558" s="19" t="s">
        <v>1</v>
      </c>
      <c r="J558" s="155">
        <v>20.71</v>
      </c>
      <c r="K558" s="19" t="s">
        <v>51</v>
      </c>
      <c r="L558" s="146" t="s">
        <v>22</v>
      </c>
      <c r="M558" s="22" t="s">
        <v>49</v>
      </c>
      <c r="N558" s="24">
        <f>IF((VLOOKUP(I558,'8Příloha_2_ceník_pravid_úklid'!$B$9:$I$30,8,0))=0,VLOOKUP(I558,'8Příloha_2_ceník_pravid_úklid'!$B$9:$K$30,10,0),VLOOKUP(I558,'8Příloha_2_ceník_pravid_úklid'!$B$9:$I$30,8,0))</f>
        <v>0</v>
      </c>
      <c r="O558" s="20">
        <v>2</v>
      </c>
      <c r="P558" s="20">
        <v>1</v>
      </c>
      <c r="Q558" s="20">
        <v>2</v>
      </c>
      <c r="R558" s="20">
        <v>1</v>
      </c>
      <c r="S558" s="21">
        <f>NETWORKDAYS.INTL(DATE(2018,1,1),DATE(2018,12,31),1,{"2018/1/1";"2018/3/30";"2018/4/2";"2018/5/1";"2018/5/8";"2018/7/5";"2018/7/6";"2018/09/28";"2018/11/17";"2018/12/24";"2018/12/25";"2018/12/26"})</f>
        <v>250</v>
      </c>
      <c r="T558" s="21">
        <f t="shared" si="44"/>
        <v>115</v>
      </c>
      <c r="U558" s="21">
        <f t="shared" si="45"/>
        <v>365</v>
      </c>
      <c r="V558" s="311">
        <f t="shared" si="46"/>
        <v>730</v>
      </c>
      <c r="W558" s="140">
        <f t="shared" si="47"/>
        <v>0</v>
      </c>
      <c r="X558" s="141">
        <f t="shared" si="48"/>
        <v>0</v>
      </c>
      <c r="Y558" s="141">
        <v>0</v>
      </c>
    </row>
    <row r="559" spans="1:25" ht="15" x14ac:dyDescent="0.2">
      <c r="A559" s="276" t="s">
        <v>1345</v>
      </c>
      <c r="B559" s="391" t="s">
        <v>611</v>
      </c>
      <c r="C559" s="391" t="s">
        <v>209</v>
      </c>
      <c r="D559" s="139" t="str">
        <f>VLOOKUP(C559,'Seznam HS - nemaš'!$A$1:$B$96,2,FALSE)</f>
        <v>438100</v>
      </c>
      <c r="E559" s="19" t="s">
        <v>1408</v>
      </c>
      <c r="F559" s="154" t="s">
        <v>552</v>
      </c>
      <c r="G559" s="154"/>
      <c r="H559" s="28">
        <f>+IF(ISBLANK(I559),0,VLOOKUP(I559,'8Příloha_2_ceník_pravid_úklid'!$B$9:$C$30,2,0))</f>
        <v>16</v>
      </c>
      <c r="I559" s="19" t="s">
        <v>6</v>
      </c>
      <c r="J559" s="155">
        <v>5.96</v>
      </c>
      <c r="K559" s="19" t="s">
        <v>51</v>
      </c>
      <c r="L559" s="146" t="s">
        <v>22</v>
      </c>
      <c r="M559" s="22" t="s">
        <v>49</v>
      </c>
      <c r="N559" s="24">
        <f>IF((VLOOKUP(I559,'8Příloha_2_ceník_pravid_úklid'!$B$9:$I$30,8,0))=0,VLOOKUP(I559,'8Příloha_2_ceník_pravid_úklid'!$B$9:$K$30,10,0),VLOOKUP(I559,'8Příloha_2_ceník_pravid_úklid'!$B$9:$I$30,8,0))</f>
        <v>0</v>
      </c>
      <c r="O559" s="20">
        <v>2</v>
      </c>
      <c r="P559" s="20">
        <v>1</v>
      </c>
      <c r="Q559" s="20">
        <v>2</v>
      </c>
      <c r="R559" s="20">
        <v>1</v>
      </c>
      <c r="S559" s="21">
        <f>NETWORKDAYS.INTL(DATE(2018,1,1),DATE(2018,12,31),1,{"2018/1/1";"2018/3/30";"2018/4/2";"2018/5/1";"2018/5/8";"2018/7/5";"2018/7/6";"2018/09/28";"2018/11/17";"2018/12/24";"2018/12/25";"2018/12/26"})</f>
        <v>250</v>
      </c>
      <c r="T559" s="21">
        <f t="shared" si="44"/>
        <v>115</v>
      </c>
      <c r="U559" s="21">
        <f t="shared" si="45"/>
        <v>365</v>
      </c>
      <c r="V559" s="311">
        <f t="shared" si="46"/>
        <v>730</v>
      </c>
      <c r="W559" s="140">
        <f t="shared" si="47"/>
        <v>0</v>
      </c>
      <c r="X559" s="141">
        <f t="shared" si="48"/>
        <v>0</v>
      </c>
      <c r="Y559" s="141">
        <v>0</v>
      </c>
    </row>
    <row r="560" spans="1:25" ht="15" x14ac:dyDescent="0.2">
      <c r="A560" s="276" t="s">
        <v>1345</v>
      </c>
      <c r="B560" s="391" t="s">
        <v>611</v>
      </c>
      <c r="C560" s="391" t="s">
        <v>209</v>
      </c>
      <c r="D560" s="139" t="str">
        <f>VLOOKUP(C560,'Seznam HS - nemaš'!$A$1:$B$96,2,FALSE)</f>
        <v>438100</v>
      </c>
      <c r="E560" s="19" t="s">
        <v>1409</v>
      </c>
      <c r="F560" s="154" t="s">
        <v>893</v>
      </c>
      <c r="G560" s="154"/>
      <c r="H560" s="28">
        <f>+IF(ISBLANK(I560),0,VLOOKUP(I560,'8Příloha_2_ceník_pravid_úklid'!$B$9:$C$30,2,0))</f>
        <v>7</v>
      </c>
      <c r="I560" s="19" t="s">
        <v>14</v>
      </c>
      <c r="J560" s="155">
        <v>7.65</v>
      </c>
      <c r="K560" s="19" t="s">
        <v>50</v>
      </c>
      <c r="L560" s="146" t="s">
        <v>22</v>
      </c>
      <c r="M560" s="22" t="s">
        <v>49</v>
      </c>
      <c r="N560" s="24">
        <f>IF((VLOOKUP(I560,'8Příloha_2_ceník_pravid_úklid'!$B$9:$I$30,8,0))=0,VLOOKUP(I560,'8Příloha_2_ceník_pravid_úklid'!$B$9:$K$30,10,0),VLOOKUP(I560,'8Příloha_2_ceník_pravid_úklid'!$B$9:$I$30,8,0))</f>
        <v>0</v>
      </c>
      <c r="O560" s="20">
        <v>2</v>
      </c>
      <c r="P560" s="20">
        <v>1</v>
      </c>
      <c r="Q560" s="20">
        <v>2</v>
      </c>
      <c r="R560" s="20">
        <v>1</v>
      </c>
      <c r="S560" s="21">
        <f>NETWORKDAYS.INTL(DATE(2018,1,1),DATE(2018,12,31),1,{"2018/1/1";"2018/3/30";"2018/4/2";"2018/5/1";"2018/5/8";"2018/7/5";"2018/7/6";"2018/09/28";"2018/11/17";"2018/12/24";"2018/12/25";"2018/12/26"})</f>
        <v>250</v>
      </c>
      <c r="T560" s="21">
        <f t="shared" si="44"/>
        <v>115</v>
      </c>
      <c r="U560" s="21">
        <f t="shared" si="45"/>
        <v>365</v>
      </c>
      <c r="V560" s="311">
        <f t="shared" si="46"/>
        <v>730</v>
      </c>
      <c r="W560" s="140">
        <f t="shared" si="47"/>
        <v>0</v>
      </c>
      <c r="X560" s="141">
        <f t="shared" si="48"/>
        <v>0</v>
      </c>
      <c r="Y560" s="141">
        <v>0</v>
      </c>
    </row>
    <row r="561" spans="1:25" ht="15" x14ac:dyDescent="0.2">
      <c r="A561" s="276" t="s">
        <v>1345</v>
      </c>
      <c r="B561" s="391" t="s">
        <v>611</v>
      </c>
      <c r="C561" s="391" t="s">
        <v>209</v>
      </c>
      <c r="D561" s="139" t="str">
        <f>VLOOKUP(C561,'Seznam HS - nemaš'!$A$1:$B$96,2,FALSE)</f>
        <v>438100</v>
      </c>
      <c r="E561" s="19" t="s">
        <v>1410</v>
      </c>
      <c r="F561" s="154" t="s">
        <v>437</v>
      </c>
      <c r="G561" s="154"/>
      <c r="H561" s="28">
        <f>+IF(ISBLANK(I561),0,VLOOKUP(I561,'8Příloha_2_ceník_pravid_úklid'!$B$9:$C$30,2,0))</f>
        <v>7</v>
      </c>
      <c r="I561" s="19" t="s">
        <v>14</v>
      </c>
      <c r="J561" s="155">
        <v>1.21</v>
      </c>
      <c r="K561" s="19" t="s">
        <v>50</v>
      </c>
      <c r="L561" s="146" t="s">
        <v>22</v>
      </c>
      <c r="M561" s="22" t="s">
        <v>49</v>
      </c>
      <c r="N561" s="24">
        <f>IF((VLOOKUP(I561,'8Příloha_2_ceník_pravid_úklid'!$B$9:$I$30,8,0))=0,VLOOKUP(I561,'8Příloha_2_ceník_pravid_úklid'!$B$9:$K$30,10,0),VLOOKUP(I561,'8Příloha_2_ceník_pravid_úklid'!$B$9:$I$30,8,0))</f>
        <v>0</v>
      </c>
      <c r="O561" s="20">
        <v>2</v>
      </c>
      <c r="P561" s="20">
        <v>1</v>
      </c>
      <c r="Q561" s="20">
        <v>2</v>
      </c>
      <c r="R561" s="20">
        <v>1</v>
      </c>
      <c r="S561" s="21">
        <f>NETWORKDAYS.INTL(DATE(2018,1,1),DATE(2018,12,31),1,{"2018/1/1";"2018/3/30";"2018/4/2";"2018/5/1";"2018/5/8";"2018/7/5";"2018/7/6";"2018/09/28";"2018/11/17";"2018/12/24";"2018/12/25";"2018/12/26"})</f>
        <v>250</v>
      </c>
      <c r="T561" s="21">
        <f t="shared" si="44"/>
        <v>115</v>
      </c>
      <c r="U561" s="21">
        <f t="shared" si="45"/>
        <v>365</v>
      </c>
      <c r="V561" s="311">
        <f t="shared" si="46"/>
        <v>730</v>
      </c>
      <c r="W561" s="140">
        <f t="shared" si="47"/>
        <v>0</v>
      </c>
      <c r="X561" s="141">
        <f t="shared" si="48"/>
        <v>0</v>
      </c>
      <c r="Y561" s="141">
        <v>0</v>
      </c>
    </row>
    <row r="562" spans="1:25" ht="15" x14ac:dyDescent="0.2">
      <c r="A562" s="276" t="s">
        <v>1345</v>
      </c>
      <c r="B562" s="391" t="s">
        <v>611</v>
      </c>
      <c r="C562" s="391" t="s">
        <v>209</v>
      </c>
      <c r="D562" s="139" t="str">
        <f>VLOOKUP(C562,'Seznam HS - nemaš'!$A$1:$B$96,2,FALSE)</f>
        <v>438100</v>
      </c>
      <c r="E562" s="19" t="s">
        <v>1411</v>
      </c>
      <c r="F562" s="154" t="s">
        <v>1412</v>
      </c>
      <c r="G562" s="154" t="s">
        <v>599</v>
      </c>
      <c r="H562" s="28">
        <f>+IF(ISBLANK(I562),0,VLOOKUP(I562,'8Příloha_2_ceník_pravid_úklid'!$B$9:$C$30,2,0))</f>
        <v>2</v>
      </c>
      <c r="I562" s="19" t="s">
        <v>2</v>
      </c>
      <c r="J562" s="155">
        <v>10.51</v>
      </c>
      <c r="K562" s="19" t="s">
        <v>51</v>
      </c>
      <c r="L562" s="146" t="s">
        <v>22</v>
      </c>
      <c r="M562" s="22" t="s">
        <v>49</v>
      </c>
      <c r="N562" s="24">
        <f>IF((VLOOKUP(I562,'8Příloha_2_ceník_pravid_úklid'!$B$9:$I$30,8,0))=0,VLOOKUP(I562,'8Příloha_2_ceník_pravid_úklid'!$B$9:$K$30,10,0),VLOOKUP(I562,'8Příloha_2_ceník_pravid_úklid'!$B$9:$I$30,8,0))</f>
        <v>0</v>
      </c>
      <c r="O562" s="20">
        <v>2</v>
      </c>
      <c r="P562" s="20">
        <v>1</v>
      </c>
      <c r="Q562" s="20">
        <v>2</v>
      </c>
      <c r="R562" s="20">
        <v>1</v>
      </c>
      <c r="S562" s="21">
        <f>NETWORKDAYS.INTL(DATE(2018,1,1),DATE(2018,12,31),1,{"2018/1/1";"2018/3/30";"2018/4/2";"2018/5/1";"2018/5/8";"2018/7/5";"2018/7/6";"2018/09/28";"2018/11/17";"2018/12/24";"2018/12/25";"2018/12/26"})</f>
        <v>250</v>
      </c>
      <c r="T562" s="21">
        <f t="shared" si="44"/>
        <v>115</v>
      </c>
      <c r="U562" s="21">
        <f t="shared" si="45"/>
        <v>365</v>
      </c>
      <c r="V562" s="311">
        <f t="shared" si="46"/>
        <v>730</v>
      </c>
      <c r="W562" s="140">
        <f t="shared" si="47"/>
        <v>0</v>
      </c>
      <c r="X562" s="141">
        <f t="shared" si="48"/>
        <v>0</v>
      </c>
      <c r="Y562" s="141">
        <v>0</v>
      </c>
    </row>
    <row r="563" spans="1:25" ht="15" x14ac:dyDescent="0.2">
      <c r="A563" s="276" t="s">
        <v>1345</v>
      </c>
      <c r="B563" s="391" t="s">
        <v>611</v>
      </c>
      <c r="C563" s="391" t="s">
        <v>209</v>
      </c>
      <c r="D563" s="139" t="str">
        <f>VLOOKUP(C563,'Seznam HS - nemaš'!$A$1:$B$96,2,FALSE)</f>
        <v>438100</v>
      </c>
      <c r="E563" s="19" t="s">
        <v>1413</v>
      </c>
      <c r="F563" s="154" t="s">
        <v>554</v>
      </c>
      <c r="G563" s="154"/>
      <c r="H563" s="28">
        <f>+IF(ISBLANK(I563),0,VLOOKUP(I563,'8Příloha_2_ceník_pravid_úklid'!$B$9:$C$30,2,0))</f>
        <v>7</v>
      </c>
      <c r="I563" s="19" t="s">
        <v>14</v>
      </c>
      <c r="J563" s="155">
        <v>1.4</v>
      </c>
      <c r="K563" s="19" t="s">
        <v>50</v>
      </c>
      <c r="L563" s="146" t="s">
        <v>22</v>
      </c>
      <c r="M563" s="22" t="s">
        <v>49</v>
      </c>
      <c r="N563" s="24">
        <f>IF((VLOOKUP(I563,'8Příloha_2_ceník_pravid_úklid'!$B$9:$I$30,8,0))=0,VLOOKUP(I563,'8Příloha_2_ceník_pravid_úklid'!$B$9:$K$30,10,0),VLOOKUP(I563,'8Příloha_2_ceník_pravid_úklid'!$B$9:$I$30,8,0))</f>
        <v>0</v>
      </c>
      <c r="O563" s="20">
        <v>2</v>
      </c>
      <c r="P563" s="20">
        <v>1</v>
      </c>
      <c r="Q563" s="20">
        <v>2</v>
      </c>
      <c r="R563" s="20">
        <v>1</v>
      </c>
      <c r="S563" s="21">
        <f>NETWORKDAYS.INTL(DATE(2018,1,1),DATE(2018,12,31),1,{"2018/1/1";"2018/3/30";"2018/4/2";"2018/5/1";"2018/5/8";"2018/7/5";"2018/7/6";"2018/09/28";"2018/11/17";"2018/12/24";"2018/12/25";"2018/12/26"})</f>
        <v>250</v>
      </c>
      <c r="T563" s="21">
        <f t="shared" si="44"/>
        <v>115</v>
      </c>
      <c r="U563" s="21">
        <f t="shared" si="45"/>
        <v>365</v>
      </c>
      <c r="V563" s="311">
        <f t="shared" si="46"/>
        <v>730</v>
      </c>
      <c r="W563" s="140">
        <f t="shared" si="47"/>
        <v>0</v>
      </c>
      <c r="X563" s="141">
        <f t="shared" si="48"/>
        <v>0</v>
      </c>
      <c r="Y563" s="141">
        <v>0</v>
      </c>
    </row>
    <row r="564" spans="1:25" ht="15" x14ac:dyDescent="0.2">
      <c r="A564" s="276" t="s">
        <v>1345</v>
      </c>
      <c r="B564" s="391" t="s">
        <v>611</v>
      </c>
      <c r="C564" s="391" t="s">
        <v>209</v>
      </c>
      <c r="D564" s="139" t="str">
        <f>VLOOKUP(C564,'Seznam HS - nemaš'!$A$1:$B$96,2,FALSE)</f>
        <v>438100</v>
      </c>
      <c r="E564" s="19" t="s">
        <v>1414</v>
      </c>
      <c r="F564" s="154" t="s">
        <v>357</v>
      </c>
      <c r="G564" s="154"/>
      <c r="H564" s="28">
        <f>+IF(ISBLANK(I564),0,VLOOKUP(I564,'8Příloha_2_ceník_pravid_úklid'!$B$9:$C$30,2,0))</f>
        <v>7</v>
      </c>
      <c r="I564" s="19" t="s">
        <v>14</v>
      </c>
      <c r="J564" s="155">
        <v>3.55</v>
      </c>
      <c r="K564" s="19" t="s">
        <v>1415</v>
      </c>
      <c r="L564" s="146" t="s">
        <v>22</v>
      </c>
      <c r="M564" s="22" t="s">
        <v>49</v>
      </c>
      <c r="N564" s="24">
        <f>IF((VLOOKUP(I564,'8Příloha_2_ceník_pravid_úklid'!$B$9:$I$30,8,0))=0,VLOOKUP(I564,'8Příloha_2_ceník_pravid_úklid'!$B$9:$K$30,10,0),VLOOKUP(I564,'8Příloha_2_ceník_pravid_úklid'!$B$9:$I$30,8,0))</f>
        <v>0</v>
      </c>
      <c r="O564" s="20">
        <v>2</v>
      </c>
      <c r="P564" s="20">
        <v>1</v>
      </c>
      <c r="Q564" s="20">
        <v>2</v>
      </c>
      <c r="R564" s="20">
        <v>1</v>
      </c>
      <c r="S564" s="21">
        <f>NETWORKDAYS.INTL(DATE(2018,1,1),DATE(2018,12,31),1,{"2018/1/1";"2018/3/30";"2018/4/2";"2018/5/1";"2018/5/8";"2018/7/5";"2018/7/6";"2018/09/28";"2018/11/17";"2018/12/24";"2018/12/25";"2018/12/26"})</f>
        <v>250</v>
      </c>
      <c r="T564" s="21">
        <f t="shared" si="44"/>
        <v>115</v>
      </c>
      <c r="U564" s="21">
        <f t="shared" si="45"/>
        <v>365</v>
      </c>
      <c r="V564" s="311">
        <f t="shared" si="46"/>
        <v>730</v>
      </c>
      <c r="W564" s="140">
        <f t="shared" si="47"/>
        <v>0</v>
      </c>
      <c r="X564" s="141">
        <f t="shared" si="48"/>
        <v>0</v>
      </c>
      <c r="Y564" s="141">
        <v>0</v>
      </c>
    </row>
    <row r="565" spans="1:25" ht="15" x14ac:dyDescent="0.2">
      <c r="A565" s="276" t="s">
        <v>1345</v>
      </c>
      <c r="B565" s="391" t="s">
        <v>611</v>
      </c>
      <c r="C565" s="391" t="s">
        <v>209</v>
      </c>
      <c r="D565" s="139" t="str">
        <f>VLOOKUP(C565,'Seznam HS - nemaš'!$A$1:$B$96,2,FALSE)</f>
        <v>438100</v>
      </c>
      <c r="E565" s="19" t="s">
        <v>1416</v>
      </c>
      <c r="F565" s="154" t="s">
        <v>375</v>
      </c>
      <c r="G565" s="154" t="s">
        <v>1417</v>
      </c>
      <c r="H565" s="28">
        <f>+IF(ISBLANK(I565),0,VLOOKUP(I565,'8Příloha_2_ceník_pravid_úklid'!$B$9:$C$30,2,0))</f>
        <v>9</v>
      </c>
      <c r="I565" s="19" t="s">
        <v>10</v>
      </c>
      <c r="J565" s="155">
        <v>30.83</v>
      </c>
      <c r="K565" s="19" t="s">
        <v>51</v>
      </c>
      <c r="L565" s="146" t="s">
        <v>1418</v>
      </c>
      <c r="M565" s="22" t="s">
        <v>49</v>
      </c>
      <c r="N565" s="24">
        <f>IF((VLOOKUP(I565,'8Příloha_2_ceník_pravid_úklid'!$B$9:$I$30,8,0))=0,VLOOKUP(I565,'8Příloha_2_ceník_pravid_úklid'!$B$9:$K$30,10,0),VLOOKUP(I565,'8Příloha_2_ceník_pravid_úklid'!$B$9:$I$30,8,0))</f>
        <v>0</v>
      </c>
      <c r="O565" s="20">
        <v>3</v>
      </c>
      <c r="P565" s="20">
        <v>1</v>
      </c>
      <c r="Q565" s="20">
        <v>2</v>
      </c>
      <c r="R565" s="20">
        <v>1</v>
      </c>
      <c r="S565" s="21">
        <f>NETWORKDAYS.INTL(DATE(2018,1,1),DATE(2018,12,31),1,{"2018/1/1";"2018/3/30";"2018/4/2";"2018/5/1";"2018/5/8";"2018/7/5";"2018/7/6";"2018/09/28";"2018/11/17";"2018/12/24";"2018/12/25";"2018/12/26"})</f>
        <v>250</v>
      </c>
      <c r="T565" s="21">
        <f t="shared" si="44"/>
        <v>115</v>
      </c>
      <c r="U565" s="21">
        <f t="shared" si="45"/>
        <v>365</v>
      </c>
      <c r="V565" s="311">
        <f t="shared" si="46"/>
        <v>980</v>
      </c>
      <c r="W565" s="140">
        <f t="shared" si="47"/>
        <v>0</v>
      </c>
      <c r="X565" s="141">
        <f t="shared" si="48"/>
        <v>0</v>
      </c>
      <c r="Y565" s="141">
        <v>0</v>
      </c>
    </row>
    <row r="566" spans="1:25" ht="15" x14ac:dyDescent="0.2">
      <c r="A566" s="276" t="s">
        <v>1345</v>
      </c>
      <c r="B566" s="391" t="s">
        <v>611</v>
      </c>
      <c r="C566" s="391" t="s">
        <v>209</v>
      </c>
      <c r="D566" s="139" t="str">
        <f>VLOOKUP(C566,'Seznam HS - nemaš'!$A$1:$B$96,2,FALSE)</f>
        <v>438100</v>
      </c>
      <c r="E566" s="19" t="s">
        <v>1419</v>
      </c>
      <c r="F566" s="154" t="s">
        <v>357</v>
      </c>
      <c r="G566" s="154" t="s">
        <v>442</v>
      </c>
      <c r="H566" s="28">
        <f>+IF(ISBLANK(I566),0,VLOOKUP(I566,'8Příloha_2_ceník_pravid_úklid'!$B$9:$C$30,2,0))</f>
        <v>7</v>
      </c>
      <c r="I566" s="19" t="s">
        <v>14</v>
      </c>
      <c r="J566" s="155">
        <v>5.05</v>
      </c>
      <c r="K566" s="19" t="s">
        <v>50</v>
      </c>
      <c r="L566" s="146" t="s">
        <v>22</v>
      </c>
      <c r="M566" s="22" t="s">
        <v>49</v>
      </c>
      <c r="N566" s="24">
        <f>IF((VLOOKUP(I566,'8Příloha_2_ceník_pravid_úklid'!$B$9:$I$30,8,0))=0,VLOOKUP(I566,'8Příloha_2_ceník_pravid_úklid'!$B$9:$K$30,10,0),VLOOKUP(I566,'8Příloha_2_ceník_pravid_úklid'!$B$9:$I$30,8,0))</f>
        <v>0</v>
      </c>
      <c r="O566" s="20">
        <v>2</v>
      </c>
      <c r="P566" s="20">
        <v>1</v>
      </c>
      <c r="Q566" s="20">
        <v>2</v>
      </c>
      <c r="R566" s="20">
        <v>1</v>
      </c>
      <c r="S566" s="21">
        <f>NETWORKDAYS.INTL(DATE(2018,1,1),DATE(2018,12,31),1,{"2018/1/1";"2018/3/30";"2018/4/2";"2018/5/1";"2018/5/8";"2018/7/5";"2018/7/6";"2018/09/28";"2018/11/17";"2018/12/24";"2018/12/25";"2018/12/26"})</f>
        <v>250</v>
      </c>
      <c r="T566" s="21">
        <f t="shared" si="44"/>
        <v>115</v>
      </c>
      <c r="U566" s="21">
        <f t="shared" si="45"/>
        <v>365</v>
      </c>
      <c r="V566" s="311">
        <f t="shared" si="46"/>
        <v>730</v>
      </c>
      <c r="W566" s="140">
        <f t="shared" si="47"/>
        <v>0</v>
      </c>
      <c r="X566" s="141">
        <f t="shared" si="48"/>
        <v>0</v>
      </c>
      <c r="Y566" s="141">
        <v>0</v>
      </c>
    </row>
    <row r="567" spans="1:25" ht="15" x14ac:dyDescent="0.2">
      <c r="A567" s="276" t="s">
        <v>1345</v>
      </c>
      <c r="B567" s="391" t="s">
        <v>611</v>
      </c>
      <c r="C567" s="391" t="s">
        <v>209</v>
      </c>
      <c r="D567" s="139" t="str">
        <f>VLOOKUP(C567,'Seznam HS - nemaš'!$A$1:$B$96,2,FALSE)</f>
        <v>438100</v>
      </c>
      <c r="E567" s="19" t="s">
        <v>1420</v>
      </c>
      <c r="F567" s="154" t="s">
        <v>437</v>
      </c>
      <c r="G567" s="154"/>
      <c r="H567" s="28">
        <f>+IF(ISBLANK(I567),0,VLOOKUP(I567,'8Příloha_2_ceník_pravid_úklid'!$B$9:$C$30,2,0))</f>
        <v>7</v>
      </c>
      <c r="I567" s="19" t="s">
        <v>14</v>
      </c>
      <c r="J567" s="155">
        <v>2.6</v>
      </c>
      <c r="K567" s="19" t="s">
        <v>50</v>
      </c>
      <c r="L567" s="146" t="s">
        <v>22</v>
      </c>
      <c r="M567" s="22" t="s">
        <v>49</v>
      </c>
      <c r="N567" s="24">
        <f>IF((VLOOKUP(I567,'8Příloha_2_ceník_pravid_úklid'!$B$9:$I$30,8,0))=0,VLOOKUP(I567,'8Příloha_2_ceník_pravid_úklid'!$B$9:$K$30,10,0),VLOOKUP(I567,'8Příloha_2_ceník_pravid_úklid'!$B$9:$I$30,8,0))</f>
        <v>0</v>
      </c>
      <c r="O567" s="20">
        <v>2</v>
      </c>
      <c r="P567" s="20">
        <v>1</v>
      </c>
      <c r="Q567" s="20">
        <v>2</v>
      </c>
      <c r="R567" s="20">
        <v>1</v>
      </c>
      <c r="S567" s="21">
        <f>NETWORKDAYS.INTL(DATE(2018,1,1),DATE(2018,12,31),1,{"2018/1/1";"2018/3/30";"2018/4/2";"2018/5/1";"2018/5/8";"2018/7/5";"2018/7/6";"2018/09/28";"2018/11/17";"2018/12/24";"2018/12/25";"2018/12/26"})</f>
        <v>250</v>
      </c>
      <c r="T567" s="21">
        <f t="shared" si="44"/>
        <v>115</v>
      </c>
      <c r="U567" s="21">
        <f t="shared" si="45"/>
        <v>365</v>
      </c>
      <c r="V567" s="311">
        <f t="shared" si="46"/>
        <v>730</v>
      </c>
      <c r="W567" s="140">
        <f t="shared" si="47"/>
        <v>0</v>
      </c>
      <c r="X567" s="141">
        <f t="shared" si="48"/>
        <v>0</v>
      </c>
      <c r="Y567" s="141">
        <v>0</v>
      </c>
    </row>
    <row r="568" spans="1:25" ht="15" x14ac:dyDescent="0.2">
      <c r="A568" s="276" t="s">
        <v>1345</v>
      </c>
      <c r="B568" s="391" t="s">
        <v>611</v>
      </c>
      <c r="C568" s="391" t="s">
        <v>209</v>
      </c>
      <c r="D568" s="139" t="str">
        <f>VLOOKUP(C568,'Seznam HS - nemaš'!$A$1:$B$96,2,FALSE)</f>
        <v>438100</v>
      </c>
      <c r="E568" s="19" t="s">
        <v>1421</v>
      </c>
      <c r="F568" s="154" t="s">
        <v>492</v>
      </c>
      <c r="G568" s="154" t="s">
        <v>747</v>
      </c>
      <c r="H568" s="28">
        <f>+IF(ISBLANK(I568),0,VLOOKUP(I568,'8Příloha_2_ceník_pravid_úklid'!$B$9:$C$30,2,0))</f>
        <v>4</v>
      </c>
      <c r="I568" s="19" t="s">
        <v>9</v>
      </c>
      <c r="J568" s="155">
        <v>21.9</v>
      </c>
      <c r="K568" s="19" t="s">
        <v>51</v>
      </c>
      <c r="L568" s="146" t="s">
        <v>22</v>
      </c>
      <c r="M568" s="22" t="s">
        <v>49</v>
      </c>
      <c r="N568" s="24">
        <f>IF((VLOOKUP(I568,'8Příloha_2_ceník_pravid_úklid'!$B$9:$I$30,8,0))=0,VLOOKUP(I568,'8Příloha_2_ceník_pravid_úklid'!$B$9:$K$30,10,0),VLOOKUP(I568,'8Příloha_2_ceník_pravid_úklid'!$B$9:$I$30,8,0))</f>
        <v>0</v>
      </c>
      <c r="O568" s="20">
        <v>2</v>
      </c>
      <c r="P568" s="20">
        <v>1</v>
      </c>
      <c r="Q568" s="20">
        <v>2</v>
      </c>
      <c r="R568" s="20">
        <v>1</v>
      </c>
      <c r="S568" s="21">
        <f>NETWORKDAYS.INTL(DATE(2018,1,1),DATE(2018,12,31),1,{"2018/1/1";"2018/3/30";"2018/4/2";"2018/5/1";"2018/5/8";"2018/7/5";"2018/7/6";"2018/09/28";"2018/11/17";"2018/12/24";"2018/12/25";"2018/12/26"})</f>
        <v>250</v>
      </c>
      <c r="T568" s="21">
        <f t="shared" si="44"/>
        <v>115</v>
      </c>
      <c r="U568" s="21">
        <f t="shared" si="45"/>
        <v>365</v>
      </c>
      <c r="V568" s="311">
        <f t="shared" si="46"/>
        <v>730</v>
      </c>
      <c r="W568" s="140">
        <f t="shared" si="47"/>
        <v>0</v>
      </c>
      <c r="X568" s="141">
        <f t="shared" si="48"/>
        <v>0</v>
      </c>
      <c r="Y568" s="141">
        <v>0</v>
      </c>
    </row>
    <row r="569" spans="1:25" ht="15" x14ac:dyDescent="0.2">
      <c r="A569" s="276" t="s">
        <v>1345</v>
      </c>
      <c r="B569" s="391" t="s">
        <v>611</v>
      </c>
      <c r="C569" s="391" t="s">
        <v>209</v>
      </c>
      <c r="D569" s="139" t="str">
        <f>VLOOKUP(C569,'Seznam HS - nemaš'!$A$1:$B$96,2,FALSE)</f>
        <v>438100</v>
      </c>
      <c r="E569" s="19" t="s">
        <v>1422</v>
      </c>
      <c r="F569" s="154" t="s">
        <v>567</v>
      </c>
      <c r="G569" s="154" t="s">
        <v>1417</v>
      </c>
      <c r="H569" s="28">
        <f>+IF(ISBLANK(I569),0,VLOOKUP(I569,'8Příloha_2_ceník_pravid_úklid'!$B$9:$C$30,2,0))</f>
        <v>1</v>
      </c>
      <c r="I569" s="19" t="s">
        <v>78</v>
      </c>
      <c r="J569" s="155">
        <v>22.5</v>
      </c>
      <c r="K569" s="19" t="s">
        <v>51</v>
      </c>
      <c r="L569" s="146" t="s">
        <v>22</v>
      </c>
      <c r="M569" s="22" t="s">
        <v>49</v>
      </c>
      <c r="N569" s="24">
        <f>IF((VLOOKUP(I569,'8Příloha_2_ceník_pravid_úklid'!$B$9:$I$30,8,0))=0,VLOOKUP(I569,'8Příloha_2_ceník_pravid_úklid'!$B$9:$K$30,10,0),VLOOKUP(I569,'8Příloha_2_ceník_pravid_úklid'!$B$9:$I$30,8,0))</f>
        <v>0</v>
      </c>
      <c r="O569" s="20">
        <v>2</v>
      </c>
      <c r="P569" s="20">
        <v>1</v>
      </c>
      <c r="Q569" s="20">
        <v>2</v>
      </c>
      <c r="R569" s="20">
        <v>1</v>
      </c>
      <c r="S569" s="21">
        <f>NETWORKDAYS.INTL(DATE(2018,1,1),DATE(2018,12,31),1,{"2018/1/1";"2018/3/30";"2018/4/2";"2018/5/1";"2018/5/8";"2018/7/5";"2018/7/6";"2018/09/28";"2018/11/17";"2018/12/24";"2018/12/25";"2018/12/26"})</f>
        <v>250</v>
      </c>
      <c r="T569" s="21">
        <f t="shared" si="44"/>
        <v>115</v>
      </c>
      <c r="U569" s="21">
        <f t="shared" si="45"/>
        <v>365</v>
      </c>
      <c r="V569" s="311">
        <f t="shared" si="46"/>
        <v>730</v>
      </c>
      <c r="W569" s="140">
        <f t="shared" si="47"/>
        <v>0</v>
      </c>
      <c r="X569" s="141">
        <f t="shared" si="48"/>
        <v>0</v>
      </c>
      <c r="Y569" s="141">
        <v>0</v>
      </c>
    </row>
    <row r="570" spans="1:25" ht="15" x14ac:dyDescent="0.2">
      <c r="A570" s="276" t="s">
        <v>1345</v>
      </c>
      <c r="B570" s="391" t="s">
        <v>611</v>
      </c>
      <c r="C570" s="391" t="s">
        <v>209</v>
      </c>
      <c r="D570" s="139" t="str">
        <f>VLOOKUP(C570,'Seznam HS - nemaš'!$A$1:$B$96,2,FALSE)</f>
        <v>438100</v>
      </c>
      <c r="E570" s="19" t="s">
        <v>1423</v>
      </c>
      <c r="F570" s="154" t="s">
        <v>561</v>
      </c>
      <c r="G570" s="154"/>
      <c r="H570" s="28">
        <f>+IF(ISBLANK(I570),0,VLOOKUP(I570,'8Příloha_2_ceník_pravid_úklid'!$B$9:$C$30,2,0))</f>
        <v>7</v>
      </c>
      <c r="I570" s="19" t="s">
        <v>14</v>
      </c>
      <c r="J570" s="155">
        <v>4.92</v>
      </c>
      <c r="K570" s="19" t="s">
        <v>50</v>
      </c>
      <c r="L570" s="146" t="s">
        <v>22</v>
      </c>
      <c r="M570" s="22" t="s">
        <v>49</v>
      </c>
      <c r="N570" s="24">
        <f>IF((VLOOKUP(I570,'8Příloha_2_ceník_pravid_úklid'!$B$9:$I$30,8,0))=0,VLOOKUP(I570,'8Příloha_2_ceník_pravid_úklid'!$B$9:$K$30,10,0),VLOOKUP(I570,'8Příloha_2_ceník_pravid_úklid'!$B$9:$I$30,8,0))</f>
        <v>0</v>
      </c>
      <c r="O570" s="20">
        <v>2</v>
      </c>
      <c r="P570" s="20">
        <v>1</v>
      </c>
      <c r="Q570" s="20">
        <v>2</v>
      </c>
      <c r="R570" s="20">
        <v>1</v>
      </c>
      <c r="S570" s="21">
        <f>NETWORKDAYS.INTL(DATE(2018,1,1),DATE(2018,12,31),1,{"2018/1/1";"2018/3/30";"2018/4/2";"2018/5/1";"2018/5/8";"2018/7/5";"2018/7/6";"2018/09/28";"2018/11/17";"2018/12/24";"2018/12/25";"2018/12/26"})</f>
        <v>250</v>
      </c>
      <c r="T570" s="21">
        <f t="shared" si="44"/>
        <v>115</v>
      </c>
      <c r="U570" s="21">
        <f t="shared" si="45"/>
        <v>365</v>
      </c>
      <c r="V570" s="311">
        <f t="shared" si="46"/>
        <v>730</v>
      </c>
      <c r="W570" s="140">
        <f t="shared" si="47"/>
        <v>0</v>
      </c>
      <c r="X570" s="141">
        <f t="shared" si="48"/>
        <v>0</v>
      </c>
      <c r="Y570" s="141">
        <v>0</v>
      </c>
    </row>
    <row r="571" spans="1:25" ht="15" x14ac:dyDescent="0.2">
      <c r="A571" s="276" t="s">
        <v>1345</v>
      </c>
      <c r="B571" s="391" t="s">
        <v>611</v>
      </c>
      <c r="C571" s="391" t="s">
        <v>209</v>
      </c>
      <c r="D571" s="139" t="str">
        <f>VLOOKUP(C571,'Seznam HS - nemaš'!$A$1:$B$96,2,FALSE)</f>
        <v>438100</v>
      </c>
      <c r="E571" s="19" t="s">
        <v>1424</v>
      </c>
      <c r="F571" s="154" t="s">
        <v>612</v>
      </c>
      <c r="G571" s="154" t="s">
        <v>1417</v>
      </c>
      <c r="H571" s="28">
        <f>+IF(ISBLANK(I571),0,VLOOKUP(I571,'8Příloha_2_ceník_pravid_úklid'!$B$9:$C$30,2,0))</f>
        <v>2</v>
      </c>
      <c r="I571" s="19" t="s">
        <v>2</v>
      </c>
      <c r="J571" s="155">
        <v>19.420000000000002</v>
      </c>
      <c r="K571" s="19" t="s">
        <v>51</v>
      </c>
      <c r="L571" s="146" t="s">
        <v>22</v>
      </c>
      <c r="M571" s="22" t="s">
        <v>49</v>
      </c>
      <c r="N571" s="24">
        <f>IF((VLOOKUP(I571,'8Příloha_2_ceník_pravid_úklid'!$B$9:$I$30,8,0))=0,VLOOKUP(I571,'8Příloha_2_ceník_pravid_úklid'!$B$9:$K$30,10,0),VLOOKUP(I571,'8Příloha_2_ceník_pravid_úklid'!$B$9:$I$30,8,0))</f>
        <v>0</v>
      </c>
      <c r="O571" s="20">
        <v>2</v>
      </c>
      <c r="P571" s="20">
        <v>1</v>
      </c>
      <c r="Q571" s="20">
        <v>2</v>
      </c>
      <c r="R571" s="20">
        <v>1</v>
      </c>
      <c r="S571" s="21">
        <f>NETWORKDAYS.INTL(DATE(2018,1,1),DATE(2018,12,31),1,{"2018/1/1";"2018/3/30";"2018/4/2";"2018/5/1";"2018/5/8";"2018/7/5";"2018/7/6";"2018/09/28";"2018/11/17";"2018/12/24";"2018/12/25";"2018/12/26"})</f>
        <v>250</v>
      </c>
      <c r="T571" s="21">
        <f t="shared" si="44"/>
        <v>115</v>
      </c>
      <c r="U571" s="21">
        <f t="shared" si="45"/>
        <v>365</v>
      </c>
      <c r="V571" s="311">
        <f t="shared" si="46"/>
        <v>730</v>
      </c>
      <c r="W571" s="140">
        <f t="shared" si="47"/>
        <v>0</v>
      </c>
      <c r="X571" s="141">
        <f t="shared" si="48"/>
        <v>0</v>
      </c>
      <c r="Y571" s="141">
        <v>0</v>
      </c>
    </row>
    <row r="572" spans="1:25" ht="15" x14ac:dyDescent="0.2">
      <c r="A572" s="276" t="s">
        <v>1425</v>
      </c>
      <c r="B572" s="391" t="s">
        <v>611</v>
      </c>
      <c r="C572" s="391" t="s">
        <v>209</v>
      </c>
      <c r="D572" s="139" t="str">
        <f>VLOOKUP(C572,'Seznam HS - nemaš'!$A$1:$B$96,2,FALSE)</f>
        <v>438100</v>
      </c>
      <c r="E572" s="19" t="s">
        <v>1426</v>
      </c>
      <c r="F572" s="154" t="s">
        <v>567</v>
      </c>
      <c r="G572" s="154" t="s">
        <v>1427</v>
      </c>
      <c r="H572" s="28">
        <f>+IF(ISBLANK(I572),0,VLOOKUP(I572,'8Příloha_2_ceník_pravid_úklid'!$B$9:$C$30,2,0))</f>
        <v>1</v>
      </c>
      <c r="I572" s="19" t="s">
        <v>78</v>
      </c>
      <c r="J572" s="155">
        <v>33.619999999999997</v>
      </c>
      <c r="K572" s="19" t="s">
        <v>51</v>
      </c>
      <c r="L572" s="146" t="s">
        <v>22</v>
      </c>
      <c r="M572" s="22" t="s">
        <v>49</v>
      </c>
      <c r="N572" s="24">
        <f>IF((VLOOKUP(I572,'8Příloha_2_ceník_pravid_úklid'!$B$9:$I$30,8,0))=0,VLOOKUP(I572,'8Příloha_2_ceník_pravid_úklid'!$B$9:$K$30,10,0),VLOOKUP(I572,'8Příloha_2_ceník_pravid_úklid'!$B$9:$I$30,8,0))</f>
        <v>0</v>
      </c>
      <c r="O572" s="20">
        <v>2</v>
      </c>
      <c r="P572" s="20">
        <v>1</v>
      </c>
      <c r="Q572" s="20">
        <v>2</v>
      </c>
      <c r="R572" s="20">
        <v>1</v>
      </c>
      <c r="S572" s="21">
        <f>NETWORKDAYS.INTL(DATE(2018,1,1),DATE(2018,12,31),1,{"2018/1/1";"2018/3/30";"2018/4/2";"2018/5/1";"2018/5/8";"2018/7/5";"2018/7/6";"2018/09/28";"2018/11/17";"2018/12/24";"2018/12/25";"2018/12/26"})</f>
        <v>250</v>
      </c>
      <c r="T572" s="21">
        <f t="shared" si="44"/>
        <v>115</v>
      </c>
      <c r="U572" s="21">
        <f t="shared" si="45"/>
        <v>365</v>
      </c>
      <c r="V572" s="311">
        <f t="shared" si="46"/>
        <v>730</v>
      </c>
      <c r="W572" s="140">
        <f t="shared" si="47"/>
        <v>0</v>
      </c>
      <c r="X572" s="141">
        <f t="shared" si="48"/>
        <v>0</v>
      </c>
      <c r="Y572" s="141">
        <v>0</v>
      </c>
    </row>
    <row r="573" spans="1:25" ht="15" x14ac:dyDescent="0.2">
      <c r="A573" s="276" t="s">
        <v>1345</v>
      </c>
      <c r="B573" s="391" t="s">
        <v>611</v>
      </c>
      <c r="C573" s="391" t="s">
        <v>209</v>
      </c>
      <c r="D573" s="139" t="str">
        <f>VLOOKUP(C573,'Seznam HS - nemaš'!$A$1:$B$96,2,FALSE)</f>
        <v>438100</v>
      </c>
      <c r="E573" s="19" t="s">
        <v>1428</v>
      </c>
      <c r="F573" s="154" t="s">
        <v>494</v>
      </c>
      <c r="G573" s="154"/>
      <c r="H573" s="28">
        <f>+IF(ISBLANK(I573),0,VLOOKUP(I573,'8Příloha_2_ceník_pravid_úklid'!$B$9:$C$30,2,0))</f>
        <v>10</v>
      </c>
      <c r="I573" s="19" t="s">
        <v>0</v>
      </c>
      <c r="J573" s="155">
        <v>7.39</v>
      </c>
      <c r="K573" s="19" t="s">
        <v>51</v>
      </c>
      <c r="L573" s="146" t="s">
        <v>22</v>
      </c>
      <c r="M573" s="22" t="s">
        <v>49</v>
      </c>
      <c r="N573" s="24">
        <f>IF((VLOOKUP(I573,'8Příloha_2_ceník_pravid_úklid'!$B$9:$I$30,8,0))=0,VLOOKUP(I573,'8Příloha_2_ceník_pravid_úklid'!$B$9:$K$30,10,0),VLOOKUP(I573,'8Příloha_2_ceník_pravid_úklid'!$B$9:$I$30,8,0))</f>
        <v>0</v>
      </c>
      <c r="O573" s="20">
        <v>2</v>
      </c>
      <c r="P573" s="20">
        <v>1</v>
      </c>
      <c r="Q573" s="20">
        <v>2</v>
      </c>
      <c r="R573" s="20">
        <v>1</v>
      </c>
      <c r="S573" s="21">
        <f>NETWORKDAYS.INTL(DATE(2018,1,1),DATE(2018,12,31),1,{"2018/1/1";"2018/3/30";"2018/4/2";"2018/5/1";"2018/5/8";"2018/7/5";"2018/7/6";"2018/09/28";"2018/11/17";"2018/12/24";"2018/12/25";"2018/12/26"})</f>
        <v>250</v>
      </c>
      <c r="T573" s="21">
        <f t="shared" si="44"/>
        <v>115</v>
      </c>
      <c r="U573" s="21">
        <f t="shared" si="45"/>
        <v>365</v>
      </c>
      <c r="V573" s="311">
        <f t="shared" si="46"/>
        <v>730</v>
      </c>
      <c r="W573" s="140">
        <f t="shared" si="47"/>
        <v>0</v>
      </c>
      <c r="X573" s="141">
        <f t="shared" si="48"/>
        <v>0</v>
      </c>
      <c r="Y573" s="141">
        <v>0</v>
      </c>
    </row>
    <row r="574" spans="1:25" ht="15" x14ac:dyDescent="0.2">
      <c r="A574" s="276" t="s">
        <v>1345</v>
      </c>
      <c r="B574" s="391" t="s">
        <v>611</v>
      </c>
      <c r="C574" s="391" t="s">
        <v>209</v>
      </c>
      <c r="D574" s="139" t="str">
        <f>VLOOKUP(C574,'Seznam HS - nemaš'!$A$1:$B$96,2,FALSE)</f>
        <v>438100</v>
      </c>
      <c r="E574" s="19" t="s">
        <v>1429</v>
      </c>
      <c r="F574" s="154" t="s">
        <v>561</v>
      </c>
      <c r="G574" s="154"/>
      <c r="H574" s="28">
        <f>+IF(ISBLANK(I574),0,VLOOKUP(I574,'8Příloha_2_ceník_pravid_úklid'!$B$9:$C$30,2,0))</f>
        <v>7</v>
      </c>
      <c r="I574" s="19" t="s">
        <v>14</v>
      </c>
      <c r="J574" s="155">
        <v>7.98</v>
      </c>
      <c r="K574" s="19" t="s">
        <v>50</v>
      </c>
      <c r="L574" s="146" t="s">
        <v>22</v>
      </c>
      <c r="M574" s="22" t="s">
        <v>49</v>
      </c>
      <c r="N574" s="24">
        <f>IF((VLOOKUP(I574,'8Příloha_2_ceník_pravid_úklid'!$B$9:$I$30,8,0))=0,VLOOKUP(I574,'8Příloha_2_ceník_pravid_úklid'!$B$9:$K$30,10,0),VLOOKUP(I574,'8Příloha_2_ceník_pravid_úklid'!$B$9:$I$30,8,0))</f>
        <v>0</v>
      </c>
      <c r="O574" s="20">
        <v>2</v>
      </c>
      <c r="P574" s="20">
        <v>1</v>
      </c>
      <c r="Q574" s="20">
        <v>2</v>
      </c>
      <c r="R574" s="20">
        <v>1</v>
      </c>
      <c r="S574" s="21">
        <f>NETWORKDAYS.INTL(DATE(2018,1,1),DATE(2018,12,31),1,{"2018/1/1";"2018/3/30";"2018/4/2";"2018/5/1";"2018/5/8";"2018/7/5";"2018/7/6";"2018/09/28";"2018/11/17";"2018/12/24";"2018/12/25";"2018/12/26"})</f>
        <v>250</v>
      </c>
      <c r="T574" s="21">
        <f t="shared" si="44"/>
        <v>115</v>
      </c>
      <c r="U574" s="21">
        <f t="shared" si="45"/>
        <v>365</v>
      </c>
      <c r="V574" s="311">
        <f t="shared" si="46"/>
        <v>730</v>
      </c>
      <c r="W574" s="140">
        <f t="shared" si="47"/>
        <v>0</v>
      </c>
      <c r="X574" s="141">
        <f t="shared" si="48"/>
        <v>0</v>
      </c>
      <c r="Y574" s="141">
        <v>0</v>
      </c>
    </row>
    <row r="575" spans="1:25" ht="15" x14ac:dyDescent="0.2">
      <c r="A575" s="276" t="s">
        <v>1345</v>
      </c>
      <c r="B575" s="391" t="s">
        <v>611</v>
      </c>
      <c r="C575" s="391" t="s">
        <v>209</v>
      </c>
      <c r="D575" s="139" t="str">
        <f>VLOOKUP(C575,'Seznam HS - nemaš'!$A$1:$B$96,2,FALSE)</f>
        <v>438100</v>
      </c>
      <c r="E575" s="19" t="s">
        <v>1430</v>
      </c>
      <c r="F575" s="154" t="s">
        <v>437</v>
      </c>
      <c r="G575" s="154"/>
      <c r="H575" s="28">
        <f>+IF(ISBLANK(I575),0,VLOOKUP(I575,'8Příloha_2_ceník_pravid_úklid'!$B$9:$C$30,2,0))</f>
        <v>7</v>
      </c>
      <c r="I575" s="19" t="s">
        <v>14</v>
      </c>
      <c r="J575" s="155">
        <v>1.76</v>
      </c>
      <c r="K575" s="19" t="s">
        <v>50</v>
      </c>
      <c r="L575" s="146" t="s">
        <v>22</v>
      </c>
      <c r="M575" s="22" t="s">
        <v>49</v>
      </c>
      <c r="N575" s="24">
        <f>IF((VLOOKUP(I575,'8Příloha_2_ceník_pravid_úklid'!$B$9:$I$30,8,0))=0,VLOOKUP(I575,'8Příloha_2_ceník_pravid_úklid'!$B$9:$K$30,10,0),VLOOKUP(I575,'8Příloha_2_ceník_pravid_úklid'!$B$9:$I$30,8,0))</f>
        <v>0</v>
      </c>
      <c r="O575" s="20">
        <v>2</v>
      </c>
      <c r="P575" s="20">
        <v>1</v>
      </c>
      <c r="Q575" s="20">
        <v>2</v>
      </c>
      <c r="R575" s="20">
        <v>1</v>
      </c>
      <c r="S575" s="21">
        <f>NETWORKDAYS.INTL(DATE(2018,1,1),DATE(2018,12,31),1,{"2018/1/1";"2018/3/30";"2018/4/2";"2018/5/1";"2018/5/8";"2018/7/5";"2018/7/6";"2018/09/28";"2018/11/17";"2018/12/24";"2018/12/25";"2018/12/26"})</f>
        <v>250</v>
      </c>
      <c r="T575" s="21">
        <f t="shared" si="44"/>
        <v>115</v>
      </c>
      <c r="U575" s="21">
        <f t="shared" si="45"/>
        <v>365</v>
      </c>
      <c r="V575" s="311">
        <f t="shared" si="46"/>
        <v>730</v>
      </c>
      <c r="W575" s="140">
        <f t="shared" si="47"/>
        <v>0</v>
      </c>
      <c r="X575" s="141">
        <f t="shared" si="48"/>
        <v>0</v>
      </c>
      <c r="Y575" s="141">
        <v>0</v>
      </c>
    </row>
    <row r="576" spans="1:25" ht="15" x14ac:dyDescent="0.2">
      <c r="A576" s="276" t="s">
        <v>1306</v>
      </c>
      <c r="B576" s="391" t="s">
        <v>611</v>
      </c>
      <c r="C576" s="391" t="s">
        <v>199</v>
      </c>
      <c r="D576" s="139" t="str">
        <f>VLOOKUP(C576,'Seznam HS - nemaš'!$A$1:$B$96,2,FALSE)</f>
        <v>435100</v>
      </c>
      <c r="E576" s="19" t="s">
        <v>1431</v>
      </c>
      <c r="F576" s="154" t="s">
        <v>612</v>
      </c>
      <c r="G576" s="154"/>
      <c r="H576" s="28">
        <f>+IF(ISBLANK(I576),0,VLOOKUP(I576,'8Příloha_2_ceník_pravid_úklid'!$B$9:$C$30,2,0))</f>
        <v>3</v>
      </c>
      <c r="I576" s="19" t="s">
        <v>3</v>
      </c>
      <c r="J576" s="155">
        <v>20</v>
      </c>
      <c r="K576" s="19" t="s">
        <v>51</v>
      </c>
      <c r="L576" s="146" t="s">
        <v>537</v>
      </c>
      <c r="M576" s="22" t="s">
        <v>49</v>
      </c>
      <c r="N576" s="24">
        <f>IF((VLOOKUP(I576,'8Příloha_2_ceník_pravid_úklid'!$B$9:$I$30,8,0))=0,VLOOKUP(I576,'8Příloha_2_ceník_pravid_úklid'!$B$9:$K$30,10,0),VLOOKUP(I576,'8Příloha_2_ceník_pravid_úklid'!$B$9:$I$30,8,0))</f>
        <v>0</v>
      </c>
      <c r="O576" s="20">
        <v>1</v>
      </c>
      <c r="P576" s="20">
        <v>1</v>
      </c>
      <c r="Q576" s="20">
        <v>1</v>
      </c>
      <c r="R576" s="20">
        <v>1</v>
      </c>
      <c r="S576" s="21">
        <f>NETWORKDAYS.INTL(DATE(2018,1,1),DATE(2018,12,31),1,{"2018/1/1";"2018/3/30";"2018/4/2";"2018/5/1";"2018/5/8";"2018/7/5";"2018/7/6";"2018/09/28";"2018/11/17";"2018/12/24";"2018/12/25";"2018/12/26"})</f>
        <v>250</v>
      </c>
      <c r="T576" s="21">
        <f t="shared" si="44"/>
        <v>115</v>
      </c>
      <c r="U576" s="21">
        <f t="shared" si="45"/>
        <v>365</v>
      </c>
      <c r="V576" s="311">
        <f t="shared" si="46"/>
        <v>365</v>
      </c>
      <c r="W576" s="140">
        <f t="shared" si="47"/>
        <v>0</v>
      </c>
      <c r="X576" s="141">
        <f t="shared" si="48"/>
        <v>0</v>
      </c>
      <c r="Y576" s="141">
        <v>0</v>
      </c>
    </row>
    <row r="577" spans="1:25" ht="15" x14ac:dyDescent="0.2">
      <c r="A577" s="276" t="s">
        <v>1306</v>
      </c>
      <c r="B577" s="391" t="s">
        <v>611</v>
      </c>
      <c r="C577" s="391" t="s">
        <v>199</v>
      </c>
      <c r="D577" s="139" t="str">
        <f>VLOOKUP(C577,'Seznam HS - nemaš'!$A$1:$B$96,2,FALSE)</f>
        <v>435100</v>
      </c>
      <c r="E577" s="19" t="s">
        <v>1432</v>
      </c>
      <c r="F577" s="154" t="s">
        <v>492</v>
      </c>
      <c r="G577" s="154"/>
      <c r="H577" s="28">
        <f>+IF(ISBLANK(I577),0,VLOOKUP(I577,'8Příloha_2_ceník_pravid_úklid'!$B$9:$C$30,2,0))</f>
        <v>4</v>
      </c>
      <c r="I577" s="19" t="s">
        <v>9</v>
      </c>
      <c r="J577" s="155">
        <v>13.57</v>
      </c>
      <c r="K577" s="19" t="s">
        <v>51</v>
      </c>
      <c r="L577" s="146" t="s">
        <v>537</v>
      </c>
      <c r="M577" s="22" t="s">
        <v>49</v>
      </c>
      <c r="N577" s="24">
        <f>IF((VLOOKUP(I577,'8Příloha_2_ceník_pravid_úklid'!$B$9:$I$30,8,0))=0,VLOOKUP(I577,'8Příloha_2_ceník_pravid_úklid'!$B$9:$K$30,10,0),VLOOKUP(I577,'8Příloha_2_ceník_pravid_úklid'!$B$9:$I$30,8,0))</f>
        <v>0</v>
      </c>
      <c r="O577" s="20">
        <v>1</v>
      </c>
      <c r="P577" s="20">
        <v>1</v>
      </c>
      <c r="Q577" s="20">
        <v>1</v>
      </c>
      <c r="R577" s="20">
        <v>1</v>
      </c>
      <c r="S577" s="21">
        <f>NETWORKDAYS.INTL(DATE(2018,1,1),DATE(2018,12,31),1,{"2018/1/1";"2018/3/30";"2018/4/2";"2018/5/1";"2018/5/8";"2018/7/5";"2018/7/6";"2018/09/28";"2018/11/17";"2018/12/24";"2018/12/25";"2018/12/26"})</f>
        <v>250</v>
      </c>
      <c r="T577" s="21">
        <f t="shared" si="44"/>
        <v>115</v>
      </c>
      <c r="U577" s="21">
        <f t="shared" si="45"/>
        <v>365</v>
      </c>
      <c r="V577" s="311">
        <f t="shared" si="46"/>
        <v>365</v>
      </c>
      <c r="W577" s="140">
        <f t="shared" si="47"/>
        <v>0</v>
      </c>
      <c r="X577" s="141">
        <f t="shared" si="48"/>
        <v>0</v>
      </c>
      <c r="Y577" s="141">
        <v>0</v>
      </c>
    </row>
    <row r="578" spans="1:25" ht="15" x14ac:dyDescent="0.2">
      <c r="A578" s="276" t="s">
        <v>1306</v>
      </c>
      <c r="B578" s="391" t="s">
        <v>611</v>
      </c>
      <c r="C578" s="391" t="s">
        <v>199</v>
      </c>
      <c r="D578" s="139" t="str">
        <f>VLOOKUP(C578,'Seznam HS - nemaš'!$A$1:$B$96,2,FALSE)</f>
        <v>435100</v>
      </c>
      <c r="E578" s="19" t="s">
        <v>1433</v>
      </c>
      <c r="F578" s="154" t="s">
        <v>565</v>
      </c>
      <c r="G578" s="154"/>
      <c r="H578" s="28">
        <f>+IF(ISBLANK(I578),0,VLOOKUP(I578,'8Příloha_2_ceník_pravid_úklid'!$B$9:$C$30,2,0))</f>
        <v>2</v>
      </c>
      <c r="I578" s="19" t="s">
        <v>2</v>
      </c>
      <c r="J578" s="155">
        <v>13.2</v>
      </c>
      <c r="K578" s="19" t="s">
        <v>51</v>
      </c>
      <c r="L578" s="146" t="s">
        <v>22</v>
      </c>
      <c r="M578" s="22" t="s">
        <v>49</v>
      </c>
      <c r="N578" s="24">
        <f>IF((VLOOKUP(I578,'8Příloha_2_ceník_pravid_úklid'!$B$9:$I$30,8,0))=0,VLOOKUP(I578,'8Příloha_2_ceník_pravid_úklid'!$B$9:$K$30,10,0),VLOOKUP(I578,'8Příloha_2_ceník_pravid_úklid'!$B$9:$I$30,8,0))</f>
        <v>0</v>
      </c>
      <c r="O578" s="20">
        <v>2</v>
      </c>
      <c r="P578" s="20">
        <v>1</v>
      </c>
      <c r="Q578" s="20">
        <v>2</v>
      </c>
      <c r="R578" s="20">
        <v>1</v>
      </c>
      <c r="S578" s="21">
        <f>NETWORKDAYS.INTL(DATE(2018,1,1),DATE(2018,12,31),1,{"2018/1/1";"2018/3/30";"2018/4/2";"2018/5/1";"2018/5/8";"2018/7/5";"2018/7/6";"2018/09/28";"2018/11/17";"2018/12/24";"2018/12/25";"2018/12/26"})</f>
        <v>250</v>
      </c>
      <c r="T578" s="21">
        <f t="shared" si="44"/>
        <v>115</v>
      </c>
      <c r="U578" s="21">
        <f t="shared" si="45"/>
        <v>365</v>
      </c>
      <c r="V578" s="311">
        <f t="shared" si="46"/>
        <v>730</v>
      </c>
      <c r="W578" s="140">
        <f t="shared" si="47"/>
        <v>0</v>
      </c>
      <c r="X578" s="141">
        <f t="shared" si="48"/>
        <v>0</v>
      </c>
      <c r="Y578" s="141">
        <v>0</v>
      </c>
    </row>
    <row r="579" spans="1:25" ht="15" x14ac:dyDescent="0.2">
      <c r="A579" s="276" t="s">
        <v>1306</v>
      </c>
      <c r="B579" s="391" t="s">
        <v>611</v>
      </c>
      <c r="C579" s="391" t="s">
        <v>199</v>
      </c>
      <c r="D579" s="139" t="str">
        <f>VLOOKUP(C579,'Seznam HS - nemaš'!$A$1:$B$96,2,FALSE)</f>
        <v>435100</v>
      </c>
      <c r="E579" s="19" t="s">
        <v>1434</v>
      </c>
      <c r="F579" s="154" t="s">
        <v>567</v>
      </c>
      <c r="G579" s="154" t="s">
        <v>1363</v>
      </c>
      <c r="H579" s="28">
        <f>+IF(ISBLANK(I579),0,VLOOKUP(I579,'8Příloha_2_ceník_pravid_úklid'!$B$9:$C$30,2,0))</f>
        <v>1</v>
      </c>
      <c r="I579" s="19" t="s">
        <v>78</v>
      </c>
      <c r="J579" s="155">
        <v>29.17</v>
      </c>
      <c r="K579" s="19" t="s">
        <v>51</v>
      </c>
      <c r="L579" s="146" t="s">
        <v>537</v>
      </c>
      <c r="M579" s="22" t="s">
        <v>49</v>
      </c>
      <c r="N579" s="24">
        <f>IF((VLOOKUP(I579,'8Příloha_2_ceník_pravid_úklid'!$B$9:$I$30,8,0))=0,VLOOKUP(I579,'8Příloha_2_ceník_pravid_úklid'!$B$9:$K$30,10,0),VLOOKUP(I579,'8Příloha_2_ceník_pravid_úklid'!$B$9:$I$30,8,0))</f>
        <v>0</v>
      </c>
      <c r="O579" s="20">
        <v>1</v>
      </c>
      <c r="P579" s="20">
        <v>1</v>
      </c>
      <c r="Q579" s="20">
        <v>1</v>
      </c>
      <c r="R579" s="20">
        <v>1</v>
      </c>
      <c r="S579" s="21">
        <f>NETWORKDAYS.INTL(DATE(2018,1,1),DATE(2018,12,31),1,{"2018/1/1";"2018/3/30";"2018/4/2";"2018/5/1";"2018/5/8";"2018/7/5";"2018/7/6";"2018/09/28";"2018/11/17";"2018/12/24";"2018/12/25";"2018/12/26"})</f>
        <v>250</v>
      </c>
      <c r="T579" s="21">
        <f t="shared" si="44"/>
        <v>115</v>
      </c>
      <c r="U579" s="21">
        <f t="shared" si="45"/>
        <v>365</v>
      </c>
      <c r="V579" s="311">
        <f t="shared" si="46"/>
        <v>365</v>
      </c>
      <c r="W579" s="140">
        <f t="shared" si="47"/>
        <v>0</v>
      </c>
      <c r="X579" s="141">
        <f t="shared" si="48"/>
        <v>0</v>
      </c>
      <c r="Y579" s="141">
        <v>0</v>
      </c>
    </row>
    <row r="580" spans="1:25" ht="15" x14ac:dyDescent="0.2">
      <c r="A580" s="276" t="s">
        <v>1306</v>
      </c>
      <c r="B580" s="391" t="s">
        <v>611</v>
      </c>
      <c r="C580" s="391" t="s">
        <v>199</v>
      </c>
      <c r="D580" s="139" t="str">
        <f>VLOOKUP(C580,'Seznam HS - nemaš'!$A$1:$B$96,2,FALSE)</f>
        <v>435100</v>
      </c>
      <c r="E580" s="19" t="s">
        <v>1435</v>
      </c>
      <c r="F580" s="154" t="s">
        <v>724</v>
      </c>
      <c r="G580" s="154"/>
      <c r="H580" s="28">
        <f>+IF(ISBLANK(I580),0,VLOOKUP(I580,'8Příloha_2_ceník_pravid_úklid'!$B$9:$C$30,2,0))</f>
        <v>7</v>
      </c>
      <c r="I580" s="19" t="s">
        <v>14</v>
      </c>
      <c r="J580" s="155">
        <v>3.08</v>
      </c>
      <c r="K580" s="19" t="s">
        <v>50</v>
      </c>
      <c r="L580" s="146" t="s">
        <v>537</v>
      </c>
      <c r="M580" s="22" t="s">
        <v>49</v>
      </c>
      <c r="N580" s="24">
        <f>IF((VLOOKUP(I580,'8Příloha_2_ceník_pravid_úklid'!$B$9:$I$30,8,0))=0,VLOOKUP(I580,'8Příloha_2_ceník_pravid_úklid'!$B$9:$K$30,10,0),VLOOKUP(I580,'8Příloha_2_ceník_pravid_úklid'!$B$9:$I$30,8,0))</f>
        <v>0</v>
      </c>
      <c r="O580" s="20">
        <v>1</v>
      </c>
      <c r="P580" s="20">
        <v>1</v>
      </c>
      <c r="Q580" s="20">
        <v>1</v>
      </c>
      <c r="R580" s="20">
        <v>1</v>
      </c>
      <c r="S580" s="21">
        <f>NETWORKDAYS.INTL(DATE(2018,1,1),DATE(2018,12,31),1,{"2018/1/1";"2018/3/30";"2018/4/2";"2018/5/1";"2018/5/8";"2018/7/5";"2018/7/6";"2018/09/28";"2018/11/17";"2018/12/24";"2018/12/25";"2018/12/26"})</f>
        <v>250</v>
      </c>
      <c r="T580" s="21">
        <f t="shared" si="44"/>
        <v>115</v>
      </c>
      <c r="U580" s="21">
        <f t="shared" si="45"/>
        <v>365</v>
      </c>
      <c r="V580" s="311">
        <f t="shared" si="46"/>
        <v>365</v>
      </c>
      <c r="W580" s="140">
        <f t="shared" si="47"/>
        <v>0</v>
      </c>
      <c r="X580" s="141">
        <f t="shared" si="48"/>
        <v>0</v>
      </c>
      <c r="Y580" s="141">
        <v>0</v>
      </c>
    </row>
    <row r="581" spans="1:25" ht="15" x14ac:dyDescent="0.2">
      <c r="A581" s="276" t="s">
        <v>1306</v>
      </c>
      <c r="B581" s="391" t="s">
        <v>611</v>
      </c>
      <c r="C581" s="391" t="s">
        <v>199</v>
      </c>
      <c r="D581" s="139" t="str">
        <f>VLOOKUP(C581,'Seznam HS - nemaš'!$A$1:$B$96,2,FALSE)</f>
        <v>435100</v>
      </c>
      <c r="E581" s="19" t="s">
        <v>1436</v>
      </c>
      <c r="F581" s="154" t="s">
        <v>567</v>
      </c>
      <c r="G581" s="154" t="s">
        <v>1274</v>
      </c>
      <c r="H581" s="28">
        <f>+IF(ISBLANK(I581),0,VLOOKUP(I581,'8Příloha_2_ceník_pravid_úklid'!$B$9:$C$30,2,0))</f>
        <v>1</v>
      </c>
      <c r="I581" s="19" t="s">
        <v>78</v>
      </c>
      <c r="J581" s="155">
        <v>15.29</v>
      </c>
      <c r="K581" s="19" t="s">
        <v>51</v>
      </c>
      <c r="L581" s="146" t="s">
        <v>537</v>
      </c>
      <c r="M581" s="22" t="s">
        <v>49</v>
      </c>
      <c r="N581" s="24">
        <f>IF((VLOOKUP(I581,'8Příloha_2_ceník_pravid_úklid'!$B$9:$I$30,8,0))=0,VLOOKUP(I581,'8Příloha_2_ceník_pravid_úklid'!$B$9:$K$30,10,0),VLOOKUP(I581,'8Příloha_2_ceník_pravid_úklid'!$B$9:$I$30,8,0))</f>
        <v>0</v>
      </c>
      <c r="O581" s="20">
        <v>1</v>
      </c>
      <c r="P581" s="20">
        <v>1</v>
      </c>
      <c r="Q581" s="20">
        <v>1</v>
      </c>
      <c r="R581" s="20">
        <v>1</v>
      </c>
      <c r="S581" s="21">
        <f>NETWORKDAYS.INTL(DATE(2018,1,1),DATE(2018,12,31),1,{"2018/1/1";"2018/3/30";"2018/4/2";"2018/5/1";"2018/5/8";"2018/7/5";"2018/7/6";"2018/09/28";"2018/11/17";"2018/12/24";"2018/12/25";"2018/12/26"})</f>
        <v>250</v>
      </c>
      <c r="T581" s="21">
        <f t="shared" si="44"/>
        <v>115</v>
      </c>
      <c r="U581" s="21">
        <f t="shared" si="45"/>
        <v>365</v>
      </c>
      <c r="V581" s="311">
        <f t="shared" si="46"/>
        <v>365</v>
      </c>
      <c r="W581" s="140">
        <f t="shared" si="47"/>
        <v>0</v>
      </c>
      <c r="X581" s="141">
        <f t="shared" si="48"/>
        <v>0</v>
      </c>
      <c r="Y581" s="141">
        <v>0</v>
      </c>
    </row>
    <row r="582" spans="1:25" ht="15" x14ac:dyDescent="0.2">
      <c r="A582" s="276" t="s">
        <v>1306</v>
      </c>
      <c r="B582" s="391" t="s">
        <v>611</v>
      </c>
      <c r="C582" s="391" t="s">
        <v>199</v>
      </c>
      <c r="D582" s="139" t="str">
        <f>VLOOKUP(C582,'Seznam HS - nemaš'!$A$1:$B$96,2,FALSE)</f>
        <v>435100</v>
      </c>
      <c r="E582" s="19" t="s">
        <v>1437</v>
      </c>
      <c r="F582" s="154" t="s">
        <v>567</v>
      </c>
      <c r="G582" s="154" t="s">
        <v>1274</v>
      </c>
      <c r="H582" s="28">
        <f>+IF(ISBLANK(I582),0,VLOOKUP(I582,'8Příloha_2_ceník_pravid_úklid'!$B$9:$C$30,2,0))</f>
        <v>1</v>
      </c>
      <c r="I582" s="19" t="s">
        <v>78</v>
      </c>
      <c r="J582" s="155">
        <v>15.73</v>
      </c>
      <c r="K582" s="19" t="s">
        <v>51</v>
      </c>
      <c r="L582" s="146" t="s">
        <v>537</v>
      </c>
      <c r="M582" s="22" t="s">
        <v>49</v>
      </c>
      <c r="N582" s="24">
        <f>IF((VLOOKUP(I582,'8Příloha_2_ceník_pravid_úklid'!$B$9:$I$30,8,0))=0,VLOOKUP(I582,'8Příloha_2_ceník_pravid_úklid'!$B$9:$K$30,10,0),VLOOKUP(I582,'8Příloha_2_ceník_pravid_úklid'!$B$9:$I$30,8,0))</f>
        <v>0</v>
      </c>
      <c r="O582" s="20">
        <v>1</v>
      </c>
      <c r="P582" s="20">
        <v>1</v>
      </c>
      <c r="Q582" s="20">
        <v>1</v>
      </c>
      <c r="R582" s="20">
        <v>1</v>
      </c>
      <c r="S582" s="21">
        <f>NETWORKDAYS.INTL(DATE(2018,1,1),DATE(2018,12,31),1,{"2018/1/1";"2018/3/30";"2018/4/2";"2018/5/1";"2018/5/8";"2018/7/5";"2018/7/6";"2018/09/28";"2018/11/17";"2018/12/24";"2018/12/25";"2018/12/26"})</f>
        <v>250</v>
      </c>
      <c r="T582" s="21">
        <f t="shared" ref="T582:T645" si="49">U582-S582</f>
        <v>115</v>
      </c>
      <c r="U582" s="21">
        <f t="shared" ref="U582:U645" si="50">_xlfn.DAYS("1.1.2019","1.1.2018")</f>
        <v>365</v>
      </c>
      <c r="V582" s="311">
        <f t="shared" ref="V582:V645" si="51">ROUND(O582*P582*S582+Q582*R582*T582,2)</f>
        <v>365</v>
      </c>
      <c r="W582" s="140">
        <f t="shared" ref="W582:W645" si="52">ROUND(IF(N582="neoceňuje se",+J582*0*V582,J582*N582*V582),2)</f>
        <v>0</v>
      </c>
      <c r="X582" s="141">
        <f t="shared" ref="X582:Y645" si="53">ROUND(W582*1.21,2)</f>
        <v>0</v>
      </c>
      <c r="Y582" s="141">
        <v>0</v>
      </c>
    </row>
    <row r="583" spans="1:25" ht="15" x14ac:dyDescent="0.2">
      <c r="A583" s="276" t="s">
        <v>1306</v>
      </c>
      <c r="B583" s="391" t="s">
        <v>611</v>
      </c>
      <c r="C583" s="391" t="s">
        <v>199</v>
      </c>
      <c r="D583" s="139" t="str">
        <f>VLOOKUP(C583,'Seznam HS - nemaš'!$A$1:$B$96,2,FALSE)</f>
        <v>435100</v>
      </c>
      <c r="E583" s="19" t="s">
        <v>1438</v>
      </c>
      <c r="F583" s="154" t="s">
        <v>724</v>
      </c>
      <c r="G583" s="154"/>
      <c r="H583" s="28">
        <f>+IF(ISBLANK(I583),0,VLOOKUP(I583,'8Příloha_2_ceník_pravid_úklid'!$B$9:$C$30,2,0))</f>
        <v>7</v>
      </c>
      <c r="I583" s="19" t="s">
        <v>14</v>
      </c>
      <c r="J583" s="155">
        <v>3.48</v>
      </c>
      <c r="K583" s="19" t="s">
        <v>50</v>
      </c>
      <c r="L583" s="146" t="s">
        <v>537</v>
      </c>
      <c r="M583" s="22" t="s">
        <v>49</v>
      </c>
      <c r="N583" s="24">
        <f>IF((VLOOKUP(I583,'8Příloha_2_ceník_pravid_úklid'!$B$9:$I$30,8,0))=0,VLOOKUP(I583,'8Příloha_2_ceník_pravid_úklid'!$B$9:$K$30,10,0),VLOOKUP(I583,'8Příloha_2_ceník_pravid_úklid'!$B$9:$I$30,8,0))</f>
        <v>0</v>
      </c>
      <c r="O583" s="20">
        <v>1</v>
      </c>
      <c r="P583" s="20">
        <v>1</v>
      </c>
      <c r="Q583" s="20">
        <v>1</v>
      </c>
      <c r="R583" s="20">
        <v>1</v>
      </c>
      <c r="S583" s="21">
        <f>NETWORKDAYS.INTL(DATE(2018,1,1),DATE(2018,12,31),1,{"2018/1/1";"2018/3/30";"2018/4/2";"2018/5/1";"2018/5/8";"2018/7/5";"2018/7/6";"2018/09/28";"2018/11/17";"2018/12/24";"2018/12/25";"2018/12/26"})</f>
        <v>250</v>
      </c>
      <c r="T583" s="21">
        <f t="shared" si="49"/>
        <v>115</v>
      </c>
      <c r="U583" s="21">
        <f t="shared" si="50"/>
        <v>365</v>
      </c>
      <c r="V583" s="311">
        <f t="shared" si="51"/>
        <v>365</v>
      </c>
      <c r="W583" s="140">
        <f t="shared" si="52"/>
        <v>0</v>
      </c>
      <c r="X583" s="141">
        <f t="shared" si="53"/>
        <v>0</v>
      </c>
      <c r="Y583" s="141">
        <v>0</v>
      </c>
    </row>
    <row r="584" spans="1:25" ht="15" x14ac:dyDescent="0.2">
      <c r="A584" s="276" t="s">
        <v>1306</v>
      </c>
      <c r="B584" s="391" t="s">
        <v>611</v>
      </c>
      <c r="C584" s="391" t="s">
        <v>199</v>
      </c>
      <c r="D584" s="139" t="str">
        <f>VLOOKUP(C584,'Seznam HS - nemaš'!$A$1:$B$96,2,FALSE)</f>
        <v>435100</v>
      </c>
      <c r="E584" s="19" t="s">
        <v>1439</v>
      </c>
      <c r="F584" s="154" t="s">
        <v>1440</v>
      </c>
      <c r="G584" s="154"/>
      <c r="H584" s="28">
        <f>+IF(ISBLANK(I584),0,VLOOKUP(I584,'8Příloha_2_ceník_pravid_úklid'!$B$9:$C$30,2,0))</f>
        <v>3</v>
      </c>
      <c r="I584" s="19" t="s">
        <v>3</v>
      </c>
      <c r="J584" s="155">
        <v>27.93</v>
      </c>
      <c r="K584" s="19" t="s">
        <v>51</v>
      </c>
      <c r="L584" s="146" t="s">
        <v>537</v>
      </c>
      <c r="M584" s="22" t="s">
        <v>49</v>
      </c>
      <c r="N584" s="24">
        <f>IF((VLOOKUP(I584,'8Příloha_2_ceník_pravid_úklid'!$B$9:$I$30,8,0))=0,VLOOKUP(I584,'8Příloha_2_ceník_pravid_úklid'!$B$9:$K$30,10,0),VLOOKUP(I584,'8Příloha_2_ceník_pravid_úklid'!$B$9:$I$30,8,0))</f>
        <v>0</v>
      </c>
      <c r="O584" s="20">
        <v>1</v>
      </c>
      <c r="P584" s="20">
        <v>1</v>
      </c>
      <c r="Q584" s="20">
        <v>1</v>
      </c>
      <c r="R584" s="20">
        <v>1</v>
      </c>
      <c r="S584" s="21">
        <f>NETWORKDAYS.INTL(DATE(2018,1,1),DATE(2018,12,31),1,{"2018/1/1";"2018/3/30";"2018/4/2";"2018/5/1";"2018/5/8";"2018/7/5";"2018/7/6";"2018/09/28";"2018/11/17";"2018/12/24";"2018/12/25";"2018/12/26"})</f>
        <v>250</v>
      </c>
      <c r="T584" s="21">
        <f t="shared" si="49"/>
        <v>115</v>
      </c>
      <c r="U584" s="21">
        <f t="shared" si="50"/>
        <v>365</v>
      </c>
      <c r="V584" s="311">
        <f t="shared" si="51"/>
        <v>365</v>
      </c>
      <c r="W584" s="140">
        <f t="shared" si="52"/>
        <v>0</v>
      </c>
      <c r="X584" s="141">
        <f t="shared" si="53"/>
        <v>0</v>
      </c>
      <c r="Y584" s="141">
        <v>0</v>
      </c>
    </row>
    <row r="585" spans="1:25" ht="15" x14ac:dyDescent="0.2">
      <c r="A585" s="276" t="s">
        <v>1306</v>
      </c>
      <c r="B585" s="391" t="s">
        <v>611</v>
      </c>
      <c r="C585" s="391" t="s">
        <v>199</v>
      </c>
      <c r="D585" s="139" t="str">
        <f>VLOOKUP(C585,'Seznam HS - nemaš'!$A$1:$B$96,2,FALSE)</f>
        <v>435100</v>
      </c>
      <c r="E585" s="19" t="s">
        <v>1441</v>
      </c>
      <c r="F585" s="154" t="s">
        <v>724</v>
      </c>
      <c r="G585" s="154"/>
      <c r="H585" s="28">
        <f>+IF(ISBLANK(I585),0,VLOOKUP(I585,'8Příloha_2_ceník_pravid_úklid'!$B$9:$C$30,2,0))</f>
        <v>7</v>
      </c>
      <c r="I585" s="19" t="s">
        <v>14</v>
      </c>
      <c r="J585" s="155">
        <v>3.3</v>
      </c>
      <c r="K585" s="19" t="s">
        <v>50</v>
      </c>
      <c r="L585" s="146" t="s">
        <v>537</v>
      </c>
      <c r="M585" s="22" t="s">
        <v>49</v>
      </c>
      <c r="N585" s="24">
        <f>IF((VLOOKUP(I585,'8Příloha_2_ceník_pravid_úklid'!$B$9:$I$30,8,0))=0,VLOOKUP(I585,'8Příloha_2_ceník_pravid_úklid'!$B$9:$K$30,10,0),VLOOKUP(I585,'8Příloha_2_ceník_pravid_úklid'!$B$9:$I$30,8,0))</f>
        <v>0</v>
      </c>
      <c r="O585" s="20">
        <v>1</v>
      </c>
      <c r="P585" s="20">
        <v>1</v>
      </c>
      <c r="Q585" s="20">
        <v>1</v>
      </c>
      <c r="R585" s="20">
        <v>1</v>
      </c>
      <c r="S585" s="21">
        <f>NETWORKDAYS.INTL(DATE(2018,1,1),DATE(2018,12,31),1,{"2018/1/1";"2018/3/30";"2018/4/2";"2018/5/1";"2018/5/8";"2018/7/5";"2018/7/6";"2018/09/28";"2018/11/17";"2018/12/24";"2018/12/25";"2018/12/26"})</f>
        <v>250</v>
      </c>
      <c r="T585" s="21">
        <f t="shared" si="49"/>
        <v>115</v>
      </c>
      <c r="U585" s="21">
        <f t="shared" si="50"/>
        <v>365</v>
      </c>
      <c r="V585" s="311">
        <f t="shared" si="51"/>
        <v>365</v>
      </c>
      <c r="W585" s="140">
        <f t="shared" si="52"/>
        <v>0</v>
      </c>
      <c r="X585" s="141">
        <f t="shared" si="53"/>
        <v>0</v>
      </c>
      <c r="Y585" s="141">
        <v>0</v>
      </c>
    </row>
    <row r="586" spans="1:25" ht="15" x14ac:dyDescent="0.2">
      <c r="A586" s="276" t="s">
        <v>1306</v>
      </c>
      <c r="B586" s="391" t="s">
        <v>611</v>
      </c>
      <c r="C586" s="391" t="s">
        <v>199</v>
      </c>
      <c r="D586" s="139" t="str">
        <f>VLOOKUP(C586,'Seznam HS - nemaš'!$A$1:$B$96,2,FALSE)</f>
        <v>435100</v>
      </c>
      <c r="E586" s="19" t="s">
        <v>1442</v>
      </c>
      <c r="F586" s="154" t="s">
        <v>567</v>
      </c>
      <c r="G586" s="154" t="s">
        <v>1274</v>
      </c>
      <c r="H586" s="28">
        <f>+IF(ISBLANK(I586),0,VLOOKUP(I586,'8Příloha_2_ceník_pravid_úklid'!$B$9:$C$30,2,0))</f>
        <v>1</v>
      </c>
      <c r="I586" s="19" t="s">
        <v>78</v>
      </c>
      <c r="J586" s="155">
        <v>16.260000000000002</v>
      </c>
      <c r="K586" s="19" t="s">
        <v>51</v>
      </c>
      <c r="L586" s="146" t="s">
        <v>537</v>
      </c>
      <c r="M586" s="22" t="s">
        <v>49</v>
      </c>
      <c r="N586" s="24">
        <f>IF((VLOOKUP(I586,'8Příloha_2_ceník_pravid_úklid'!$B$9:$I$30,8,0))=0,VLOOKUP(I586,'8Příloha_2_ceník_pravid_úklid'!$B$9:$K$30,10,0),VLOOKUP(I586,'8Příloha_2_ceník_pravid_úklid'!$B$9:$I$30,8,0))</f>
        <v>0</v>
      </c>
      <c r="O586" s="20">
        <v>1</v>
      </c>
      <c r="P586" s="20">
        <v>1</v>
      </c>
      <c r="Q586" s="20">
        <v>1</v>
      </c>
      <c r="R586" s="20">
        <v>1</v>
      </c>
      <c r="S586" s="21">
        <f>NETWORKDAYS.INTL(DATE(2018,1,1),DATE(2018,12,31),1,{"2018/1/1";"2018/3/30";"2018/4/2";"2018/5/1";"2018/5/8";"2018/7/5";"2018/7/6";"2018/09/28";"2018/11/17";"2018/12/24";"2018/12/25";"2018/12/26"})</f>
        <v>250</v>
      </c>
      <c r="T586" s="21">
        <f t="shared" si="49"/>
        <v>115</v>
      </c>
      <c r="U586" s="21">
        <f t="shared" si="50"/>
        <v>365</v>
      </c>
      <c r="V586" s="311">
        <f t="shared" si="51"/>
        <v>365</v>
      </c>
      <c r="W586" s="140">
        <f t="shared" si="52"/>
        <v>0</v>
      </c>
      <c r="X586" s="141">
        <f t="shared" si="53"/>
        <v>0</v>
      </c>
      <c r="Y586" s="141">
        <v>0</v>
      </c>
    </row>
    <row r="587" spans="1:25" ht="15" x14ac:dyDescent="0.2">
      <c r="A587" s="276" t="s">
        <v>1306</v>
      </c>
      <c r="B587" s="391" t="s">
        <v>611</v>
      </c>
      <c r="C587" s="391" t="s">
        <v>199</v>
      </c>
      <c r="D587" s="139" t="str">
        <f>VLOOKUP(C587,'Seznam HS - nemaš'!$A$1:$B$96,2,FALSE)</f>
        <v>435100</v>
      </c>
      <c r="E587" s="19" t="s">
        <v>1443</v>
      </c>
      <c r="F587" s="154" t="s">
        <v>724</v>
      </c>
      <c r="G587" s="154"/>
      <c r="H587" s="28">
        <f>+IF(ISBLANK(I587),0,VLOOKUP(I587,'8Příloha_2_ceník_pravid_úklid'!$B$9:$C$30,2,0))</f>
        <v>7</v>
      </c>
      <c r="I587" s="19" t="s">
        <v>14</v>
      </c>
      <c r="J587" s="155">
        <v>2.77</v>
      </c>
      <c r="K587" s="19" t="s">
        <v>50</v>
      </c>
      <c r="L587" s="146" t="s">
        <v>537</v>
      </c>
      <c r="M587" s="22" t="s">
        <v>49</v>
      </c>
      <c r="N587" s="24">
        <f>IF((VLOOKUP(I587,'8Příloha_2_ceník_pravid_úklid'!$B$9:$I$30,8,0))=0,VLOOKUP(I587,'8Příloha_2_ceník_pravid_úklid'!$B$9:$K$30,10,0),VLOOKUP(I587,'8Příloha_2_ceník_pravid_úklid'!$B$9:$I$30,8,0))</f>
        <v>0</v>
      </c>
      <c r="O587" s="20">
        <v>1</v>
      </c>
      <c r="P587" s="20">
        <v>1</v>
      </c>
      <c r="Q587" s="20">
        <v>1</v>
      </c>
      <c r="R587" s="20">
        <v>1</v>
      </c>
      <c r="S587" s="21">
        <f>NETWORKDAYS.INTL(DATE(2018,1,1),DATE(2018,12,31),1,{"2018/1/1";"2018/3/30";"2018/4/2";"2018/5/1";"2018/5/8";"2018/7/5";"2018/7/6";"2018/09/28";"2018/11/17";"2018/12/24";"2018/12/25";"2018/12/26"})</f>
        <v>250</v>
      </c>
      <c r="T587" s="21">
        <f t="shared" si="49"/>
        <v>115</v>
      </c>
      <c r="U587" s="21">
        <f t="shared" si="50"/>
        <v>365</v>
      </c>
      <c r="V587" s="311">
        <f t="shared" si="51"/>
        <v>365</v>
      </c>
      <c r="W587" s="140">
        <f t="shared" si="52"/>
        <v>0</v>
      </c>
      <c r="X587" s="141">
        <f t="shared" si="53"/>
        <v>0</v>
      </c>
      <c r="Y587" s="141">
        <v>0</v>
      </c>
    </row>
    <row r="588" spans="1:25" ht="15" x14ac:dyDescent="0.2">
      <c r="A588" s="276" t="s">
        <v>1306</v>
      </c>
      <c r="B588" s="391" t="s">
        <v>611</v>
      </c>
      <c r="C588" s="391" t="s">
        <v>199</v>
      </c>
      <c r="D588" s="139" t="str">
        <f>VLOOKUP(C588,'Seznam HS - nemaš'!$A$1:$B$96,2,FALSE)</f>
        <v>435100</v>
      </c>
      <c r="E588" s="19" t="s">
        <v>1444</v>
      </c>
      <c r="F588" s="154" t="s">
        <v>53</v>
      </c>
      <c r="G588" s="154"/>
      <c r="H588" s="28">
        <f>+IF(ISBLANK(I588),0,VLOOKUP(I588,'8Příloha_2_ceník_pravid_úklid'!$B$9:$C$30,2,0))</f>
        <v>6</v>
      </c>
      <c r="I588" s="19" t="s">
        <v>1</v>
      </c>
      <c r="J588" s="155">
        <v>47.83</v>
      </c>
      <c r="K588" s="19" t="s">
        <v>51</v>
      </c>
      <c r="L588" s="146" t="s">
        <v>22</v>
      </c>
      <c r="M588" s="22" t="s">
        <v>49</v>
      </c>
      <c r="N588" s="24">
        <f>IF((VLOOKUP(I588,'8Příloha_2_ceník_pravid_úklid'!$B$9:$I$30,8,0))=0,VLOOKUP(I588,'8Příloha_2_ceník_pravid_úklid'!$B$9:$K$30,10,0),VLOOKUP(I588,'8Příloha_2_ceník_pravid_úklid'!$B$9:$I$30,8,0))</f>
        <v>0</v>
      </c>
      <c r="O588" s="20">
        <v>2</v>
      </c>
      <c r="P588" s="20">
        <v>1</v>
      </c>
      <c r="Q588" s="20">
        <v>2</v>
      </c>
      <c r="R588" s="20">
        <v>1</v>
      </c>
      <c r="S588" s="21">
        <f>NETWORKDAYS.INTL(DATE(2018,1,1),DATE(2018,12,31),1,{"2018/1/1";"2018/3/30";"2018/4/2";"2018/5/1";"2018/5/8";"2018/7/5";"2018/7/6";"2018/09/28";"2018/11/17";"2018/12/24";"2018/12/25";"2018/12/26"})</f>
        <v>250</v>
      </c>
      <c r="T588" s="21">
        <f t="shared" si="49"/>
        <v>115</v>
      </c>
      <c r="U588" s="21">
        <f t="shared" si="50"/>
        <v>365</v>
      </c>
      <c r="V588" s="311">
        <f t="shared" si="51"/>
        <v>730</v>
      </c>
      <c r="W588" s="140">
        <f t="shared" si="52"/>
        <v>0</v>
      </c>
      <c r="X588" s="141">
        <f t="shared" si="53"/>
        <v>0</v>
      </c>
      <c r="Y588" s="141">
        <v>0</v>
      </c>
    </row>
    <row r="589" spans="1:25" ht="15" x14ac:dyDescent="0.2">
      <c r="A589" s="276" t="s">
        <v>1306</v>
      </c>
      <c r="B589" s="391" t="s">
        <v>611</v>
      </c>
      <c r="C589" s="391" t="s">
        <v>199</v>
      </c>
      <c r="D589" s="139" t="str">
        <f>VLOOKUP(C589,'Seznam HS - nemaš'!$A$1:$B$96,2,FALSE)</f>
        <v>435100</v>
      </c>
      <c r="E589" s="19" t="s">
        <v>1445</v>
      </c>
      <c r="F589" s="154" t="s">
        <v>561</v>
      </c>
      <c r="G589" s="154"/>
      <c r="H589" s="28">
        <f>+IF(ISBLANK(I589),0,VLOOKUP(I589,'8Příloha_2_ceník_pravid_úklid'!$B$9:$C$30,2,0))</f>
        <v>7</v>
      </c>
      <c r="I589" s="19" t="s">
        <v>14</v>
      </c>
      <c r="J589" s="155">
        <v>9.41</v>
      </c>
      <c r="K589" s="19" t="s">
        <v>50</v>
      </c>
      <c r="L589" s="146" t="s">
        <v>537</v>
      </c>
      <c r="M589" s="22" t="s">
        <v>49</v>
      </c>
      <c r="N589" s="24">
        <f>IF((VLOOKUP(I589,'8Příloha_2_ceník_pravid_úklid'!$B$9:$I$30,8,0))=0,VLOOKUP(I589,'8Příloha_2_ceník_pravid_úklid'!$B$9:$K$30,10,0),VLOOKUP(I589,'8Příloha_2_ceník_pravid_úklid'!$B$9:$I$30,8,0))</f>
        <v>0</v>
      </c>
      <c r="O589" s="20">
        <v>1</v>
      </c>
      <c r="P589" s="20">
        <v>1</v>
      </c>
      <c r="Q589" s="20">
        <v>1</v>
      </c>
      <c r="R589" s="20">
        <v>1</v>
      </c>
      <c r="S589" s="21">
        <f>NETWORKDAYS.INTL(DATE(2018,1,1),DATE(2018,12,31),1,{"2018/1/1";"2018/3/30";"2018/4/2";"2018/5/1";"2018/5/8";"2018/7/5";"2018/7/6";"2018/09/28";"2018/11/17";"2018/12/24";"2018/12/25";"2018/12/26"})</f>
        <v>250</v>
      </c>
      <c r="T589" s="21">
        <f t="shared" si="49"/>
        <v>115</v>
      </c>
      <c r="U589" s="21">
        <f t="shared" si="50"/>
        <v>365</v>
      </c>
      <c r="V589" s="311">
        <f t="shared" si="51"/>
        <v>365</v>
      </c>
      <c r="W589" s="140">
        <f t="shared" si="52"/>
        <v>0</v>
      </c>
      <c r="X589" s="141">
        <f t="shared" si="53"/>
        <v>0</v>
      </c>
      <c r="Y589" s="141">
        <v>0</v>
      </c>
    </row>
    <row r="590" spans="1:25" ht="15" x14ac:dyDescent="0.2">
      <c r="A590" s="276" t="s">
        <v>1306</v>
      </c>
      <c r="B590" s="391" t="s">
        <v>611</v>
      </c>
      <c r="C590" s="391" t="s">
        <v>199</v>
      </c>
      <c r="D590" s="139" t="str">
        <f>VLOOKUP(C590,'Seznam HS - nemaš'!$A$1:$B$96,2,FALSE)</f>
        <v>435100</v>
      </c>
      <c r="E590" s="19" t="s">
        <v>1446</v>
      </c>
      <c r="F590" s="154" t="s">
        <v>552</v>
      </c>
      <c r="G590" s="154"/>
      <c r="H590" s="28">
        <f>+IF(ISBLANK(I590),0,VLOOKUP(I590,'8Příloha_2_ceník_pravid_úklid'!$B$9:$C$30,2,0))</f>
        <v>16</v>
      </c>
      <c r="I590" s="19" t="s">
        <v>6</v>
      </c>
      <c r="J590" s="155">
        <v>4.87</v>
      </c>
      <c r="K590" s="19" t="s">
        <v>51</v>
      </c>
      <c r="L590" s="146" t="s">
        <v>22</v>
      </c>
      <c r="M590" s="22" t="s">
        <v>49</v>
      </c>
      <c r="N590" s="24">
        <f>IF((VLOOKUP(I590,'8Příloha_2_ceník_pravid_úklid'!$B$9:$I$30,8,0))=0,VLOOKUP(I590,'8Příloha_2_ceník_pravid_úklid'!$B$9:$K$30,10,0),VLOOKUP(I590,'8Příloha_2_ceník_pravid_úklid'!$B$9:$I$30,8,0))</f>
        <v>0</v>
      </c>
      <c r="O590" s="20">
        <v>2</v>
      </c>
      <c r="P590" s="20">
        <v>1</v>
      </c>
      <c r="Q590" s="20">
        <v>2</v>
      </c>
      <c r="R590" s="20">
        <v>1</v>
      </c>
      <c r="S590" s="21">
        <f>NETWORKDAYS.INTL(DATE(2018,1,1),DATE(2018,12,31),1,{"2018/1/1";"2018/3/30";"2018/4/2";"2018/5/1";"2018/5/8";"2018/7/5";"2018/7/6";"2018/09/28";"2018/11/17";"2018/12/24";"2018/12/25";"2018/12/26"})</f>
        <v>250</v>
      </c>
      <c r="T590" s="21">
        <f t="shared" si="49"/>
        <v>115</v>
      </c>
      <c r="U590" s="21">
        <f t="shared" si="50"/>
        <v>365</v>
      </c>
      <c r="V590" s="311">
        <f t="shared" si="51"/>
        <v>730</v>
      </c>
      <c r="W590" s="140">
        <f t="shared" si="52"/>
        <v>0</v>
      </c>
      <c r="X590" s="141">
        <f t="shared" si="53"/>
        <v>0</v>
      </c>
      <c r="Y590" s="141">
        <v>0</v>
      </c>
    </row>
    <row r="591" spans="1:25" ht="15" x14ac:dyDescent="0.2">
      <c r="A591" s="276" t="s">
        <v>1306</v>
      </c>
      <c r="B591" s="391" t="s">
        <v>611</v>
      </c>
      <c r="C591" s="391" t="s">
        <v>199</v>
      </c>
      <c r="D591" s="139" t="str">
        <f>VLOOKUP(C591,'Seznam HS - nemaš'!$A$1:$B$96,2,FALSE)</f>
        <v>435100</v>
      </c>
      <c r="E591" s="19" t="s">
        <v>1447</v>
      </c>
      <c r="F591" s="154" t="s">
        <v>437</v>
      </c>
      <c r="G591" s="154" t="s">
        <v>444</v>
      </c>
      <c r="H591" s="28">
        <f>+IF(ISBLANK(I591),0,VLOOKUP(I591,'8Příloha_2_ceník_pravid_úklid'!$B$9:$C$30,2,0))</f>
        <v>7</v>
      </c>
      <c r="I591" s="19" t="s">
        <v>14</v>
      </c>
      <c r="J591" s="155">
        <v>1.92</v>
      </c>
      <c r="K591" s="19" t="s">
        <v>50</v>
      </c>
      <c r="L591" s="146" t="s">
        <v>22</v>
      </c>
      <c r="M591" s="22" t="s">
        <v>49</v>
      </c>
      <c r="N591" s="24">
        <f>IF((VLOOKUP(I591,'8Příloha_2_ceník_pravid_úklid'!$B$9:$I$30,8,0))=0,VLOOKUP(I591,'8Příloha_2_ceník_pravid_úklid'!$B$9:$K$30,10,0),VLOOKUP(I591,'8Příloha_2_ceník_pravid_úklid'!$B$9:$I$30,8,0))</f>
        <v>0</v>
      </c>
      <c r="O591" s="20">
        <v>2</v>
      </c>
      <c r="P591" s="20">
        <v>1</v>
      </c>
      <c r="Q591" s="20">
        <v>2</v>
      </c>
      <c r="R591" s="20">
        <v>1</v>
      </c>
      <c r="S591" s="21">
        <f>NETWORKDAYS.INTL(DATE(2018,1,1),DATE(2018,12,31),1,{"2018/1/1";"2018/3/30";"2018/4/2";"2018/5/1";"2018/5/8";"2018/7/5";"2018/7/6";"2018/09/28";"2018/11/17";"2018/12/24";"2018/12/25";"2018/12/26"})</f>
        <v>250</v>
      </c>
      <c r="T591" s="21">
        <f t="shared" si="49"/>
        <v>115</v>
      </c>
      <c r="U591" s="21">
        <f t="shared" si="50"/>
        <v>365</v>
      </c>
      <c r="V591" s="311">
        <f t="shared" si="51"/>
        <v>730</v>
      </c>
      <c r="W591" s="140">
        <f t="shared" si="52"/>
        <v>0</v>
      </c>
      <c r="X591" s="141">
        <f t="shared" si="53"/>
        <v>0</v>
      </c>
      <c r="Y591" s="141">
        <v>0</v>
      </c>
    </row>
    <row r="592" spans="1:25" ht="15" x14ac:dyDescent="0.2">
      <c r="A592" s="276" t="s">
        <v>1306</v>
      </c>
      <c r="B592" s="391" t="s">
        <v>611</v>
      </c>
      <c r="C592" s="391" t="s">
        <v>199</v>
      </c>
      <c r="D592" s="139" t="str">
        <f>VLOOKUP(C592,'Seznam HS - nemaš'!$A$1:$B$96,2,FALSE)</f>
        <v>435100</v>
      </c>
      <c r="E592" s="19" t="s">
        <v>1448</v>
      </c>
      <c r="F592" s="154" t="s">
        <v>437</v>
      </c>
      <c r="G592" s="154"/>
      <c r="H592" s="28">
        <f>+IF(ISBLANK(I592),0,VLOOKUP(I592,'8Příloha_2_ceník_pravid_úklid'!$B$9:$C$30,2,0))</f>
        <v>7</v>
      </c>
      <c r="I592" s="19" t="s">
        <v>14</v>
      </c>
      <c r="J592" s="155">
        <v>1.44</v>
      </c>
      <c r="K592" s="19" t="s">
        <v>50</v>
      </c>
      <c r="L592" s="146" t="s">
        <v>22</v>
      </c>
      <c r="M592" s="22" t="s">
        <v>49</v>
      </c>
      <c r="N592" s="24">
        <f>IF((VLOOKUP(I592,'8Příloha_2_ceník_pravid_úklid'!$B$9:$I$30,8,0))=0,VLOOKUP(I592,'8Příloha_2_ceník_pravid_úklid'!$B$9:$K$30,10,0),VLOOKUP(I592,'8Příloha_2_ceník_pravid_úklid'!$B$9:$I$30,8,0))</f>
        <v>0</v>
      </c>
      <c r="O592" s="20">
        <v>2</v>
      </c>
      <c r="P592" s="20">
        <v>1</v>
      </c>
      <c r="Q592" s="20">
        <v>2</v>
      </c>
      <c r="R592" s="20">
        <v>1</v>
      </c>
      <c r="S592" s="21">
        <f>NETWORKDAYS.INTL(DATE(2018,1,1),DATE(2018,12,31),1,{"2018/1/1";"2018/3/30";"2018/4/2";"2018/5/1";"2018/5/8";"2018/7/5";"2018/7/6";"2018/09/28";"2018/11/17";"2018/12/24";"2018/12/25";"2018/12/26"})</f>
        <v>250</v>
      </c>
      <c r="T592" s="21">
        <f t="shared" si="49"/>
        <v>115</v>
      </c>
      <c r="U592" s="21">
        <f t="shared" si="50"/>
        <v>365</v>
      </c>
      <c r="V592" s="311">
        <f t="shared" si="51"/>
        <v>730</v>
      </c>
      <c r="W592" s="140">
        <f t="shared" si="52"/>
        <v>0</v>
      </c>
      <c r="X592" s="141">
        <f t="shared" si="53"/>
        <v>0</v>
      </c>
      <c r="Y592" s="141">
        <v>0</v>
      </c>
    </row>
    <row r="593" spans="1:25" ht="15" x14ac:dyDescent="0.2">
      <c r="A593" s="235" t="s">
        <v>1306</v>
      </c>
      <c r="B593" s="396" t="s">
        <v>611</v>
      </c>
      <c r="C593" s="396" t="s">
        <v>199</v>
      </c>
      <c r="D593" s="535" t="str">
        <f>VLOOKUP(C593,'Seznam HS - nemaš'!$A$1:$B$96,2,FALSE)</f>
        <v>435100</v>
      </c>
      <c r="E593" s="229" t="s">
        <v>1449</v>
      </c>
      <c r="F593" s="238" t="s">
        <v>554</v>
      </c>
      <c r="G593" s="238"/>
      <c r="H593" s="224">
        <f>+IF(ISBLANK(I593),0,VLOOKUP(I593,'8Příloha_2_ceník_pravid_úklid'!$B$9:$C$30,2,0))</f>
        <v>0</v>
      </c>
      <c r="I593" s="229"/>
      <c r="J593" s="233">
        <v>1.6</v>
      </c>
      <c r="K593" s="229" t="s">
        <v>50</v>
      </c>
      <c r="L593" s="310" t="s">
        <v>66</v>
      </c>
      <c r="M593" s="237" t="s">
        <v>49</v>
      </c>
      <c r="N593" s="229" t="s">
        <v>501</v>
      </c>
      <c r="O593" s="230">
        <v>0</v>
      </c>
      <c r="P593" s="230">
        <v>0</v>
      </c>
      <c r="Q593" s="230">
        <v>0</v>
      </c>
      <c r="R593" s="230">
        <v>0</v>
      </c>
      <c r="S593" s="231">
        <f>NETWORKDAYS.INTL(DATE(2018,1,1),DATE(2018,12,31),1,{"2018/1/1";"2018/3/30";"2018/4/2";"2018/5/1";"2018/5/8";"2018/7/5";"2018/7/6";"2018/09/28";"2018/11/17";"2018/12/24";"2018/12/25";"2018/12/26"})</f>
        <v>250</v>
      </c>
      <c r="T593" s="231">
        <f t="shared" si="49"/>
        <v>115</v>
      </c>
      <c r="U593" s="231">
        <f t="shared" si="50"/>
        <v>365</v>
      </c>
      <c r="V593" s="312">
        <f t="shared" si="51"/>
        <v>0</v>
      </c>
      <c r="W593" s="233">
        <f t="shared" si="52"/>
        <v>0</v>
      </c>
      <c r="X593" s="234">
        <f t="shared" si="53"/>
        <v>0</v>
      </c>
      <c r="Y593" s="234">
        <f t="shared" si="53"/>
        <v>0</v>
      </c>
    </row>
    <row r="594" spans="1:25" ht="15" x14ac:dyDescent="0.2">
      <c r="A594" s="276" t="s">
        <v>1306</v>
      </c>
      <c r="B594" s="391" t="s">
        <v>611</v>
      </c>
      <c r="C594" s="391" t="s">
        <v>199</v>
      </c>
      <c r="D594" s="139" t="str">
        <f>VLOOKUP(C594,'Seznam HS - nemaš'!$A$1:$B$96,2,FALSE)</f>
        <v>435100</v>
      </c>
      <c r="E594" s="19" t="s">
        <v>1450</v>
      </c>
      <c r="F594" s="154" t="s">
        <v>893</v>
      </c>
      <c r="G594" s="154"/>
      <c r="H594" s="28">
        <f>+IF(ISBLANK(I594),0,VLOOKUP(I594,'8Příloha_2_ceník_pravid_úklid'!$B$9:$C$30,2,0))</f>
        <v>7</v>
      </c>
      <c r="I594" s="19" t="s">
        <v>14</v>
      </c>
      <c r="J594" s="155">
        <v>5.68</v>
      </c>
      <c r="K594" s="19" t="s">
        <v>50</v>
      </c>
      <c r="L594" s="146" t="s">
        <v>22</v>
      </c>
      <c r="M594" s="22" t="s">
        <v>49</v>
      </c>
      <c r="N594" s="24">
        <f>IF((VLOOKUP(I594,'8Příloha_2_ceník_pravid_úklid'!$B$9:$I$30,8,0))=0,VLOOKUP(I594,'8Příloha_2_ceník_pravid_úklid'!$B$9:$K$30,10,0),VLOOKUP(I594,'8Příloha_2_ceník_pravid_úklid'!$B$9:$I$30,8,0))</f>
        <v>0</v>
      </c>
      <c r="O594" s="20">
        <v>2</v>
      </c>
      <c r="P594" s="20">
        <v>1</v>
      </c>
      <c r="Q594" s="20">
        <v>2</v>
      </c>
      <c r="R594" s="20">
        <v>1</v>
      </c>
      <c r="S594" s="21">
        <f>NETWORKDAYS.INTL(DATE(2018,1,1),DATE(2018,12,31),1,{"2018/1/1";"2018/3/30";"2018/4/2";"2018/5/1";"2018/5/8";"2018/7/5";"2018/7/6";"2018/09/28";"2018/11/17";"2018/12/24";"2018/12/25";"2018/12/26"})</f>
        <v>250</v>
      </c>
      <c r="T594" s="21">
        <f t="shared" si="49"/>
        <v>115</v>
      </c>
      <c r="U594" s="21">
        <f t="shared" si="50"/>
        <v>365</v>
      </c>
      <c r="V594" s="311">
        <f t="shared" si="51"/>
        <v>730</v>
      </c>
      <c r="W594" s="140">
        <f t="shared" si="52"/>
        <v>0</v>
      </c>
      <c r="X594" s="141">
        <f t="shared" si="53"/>
        <v>0</v>
      </c>
      <c r="Y594" s="141">
        <v>0</v>
      </c>
    </row>
    <row r="595" spans="1:25" ht="15" x14ac:dyDescent="0.2">
      <c r="A595" s="276" t="s">
        <v>1308</v>
      </c>
      <c r="B595" s="391" t="s">
        <v>611</v>
      </c>
      <c r="C595" s="391" t="s">
        <v>199</v>
      </c>
      <c r="D595" s="139" t="str">
        <f>VLOOKUP(C595,'Seznam HS - nemaš'!$A$1:$B$96,2,FALSE)</f>
        <v>435100</v>
      </c>
      <c r="E595" s="19" t="s">
        <v>1451</v>
      </c>
      <c r="F595" s="154" t="s">
        <v>633</v>
      </c>
      <c r="G595" s="154"/>
      <c r="H595" s="28">
        <f>+IF(ISBLANK(I595),0,VLOOKUP(I595,'8Příloha_2_ceník_pravid_úklid'!$B$9:$C$30,2,0))</f>
        <v>4</v>
      </c>
      <c r="I595" s="19" t="s">
        <v>9</v>
      </c>
      <c r="J595" s="155">
        <v>13.57</v>
      </c>
      <c r="K595" s="19" t="s">
        <v>51</v>
      </c>
      <c r="L595" s="156" t="s">
        <v>21</v>
      </c>
      <c r="M595" s="22" t="s">
        <v>49</v>
      </c>
      <c r="N595" s="24">
        <f>IF((VLOOKUP(I595,'8Příloha_2_ceník_pravid_úklid'!$B$9:$I$30,8,0))=0,VLOOKUP(I595,'8Příloha_2_ceník_pravid_úklid'!$B$9:$K$30,10,0),VLOOKUP(I595,'8Příloha_2_ceník_pravid_úklid'!$B$9:$I$30,8,0))</f>
        <v>0</v>
      </c>
      <c r="O595" s="20">
        <v>1</v>
      </c>
      <c r="P595" s="20">
        <v>1</v>
      </c>
      <c r="Q595" s="20">
        <v>0</v>
      </c>
      <c r="R595" s="20">
        <v>0</v>
      </c>
      <c r="S595" s="21">
        <f>NETWORKDAYS.INTL(DATE(2018,1,1),DATE(2018,12,31),1,{"2018/1/1";"2018/3/30";"2018/4/2";"2018/5/1";"2018/5/8";"2018/7/5";"2018/7/6";"2018/09/28";"2018/11/17";"2018/12/24";"2018/12/25";"2018/12/26"})</f>
        <v>250</v>
      </c>
      <c r="T595" s="21">
        <f t="shared" si="49"/>
        <v>115</v>
      </c>
      <c r="U595" s="21">
        <f t="shared" si="50"/>
        <v>365</v>
      </c>
      <c r="V595" s="311">
        <f t="shared" si="51"/>
        <v>250</v>
      </c>
      <c r="W595" s="140">
        <f t="shared" si="52"/>
        <v>0</v>
      </c>
      <c r="X595" s="141">
        <f t="shared" si="53"/>
        <v>0</v>
      </c>
      <c r="Y595" s="141">
        <v>0</v>
      </c>
    </row>
    <row r="596" spans="1:25" ht="15" x14ac:dyDescent="0.2">
      <c r="A596" s="235" t="s">
        <v>1308</v>
      </c>
      <c r="B596" s="396" t="s">
        <v>611</v>
      </c>
      <c r="C596" s="396"/>
      <c r="D596" s="535">
        <f>VLOOKUP(C596,'Seznam HS - nemaš'!$A$1:$B$96,2,FALSE)</f>
        <v>0</v>
      </c>
      <c r="E596" s="229" t="s">
        <v>1452</v>
      </c>
      <c r="F596" s="238" t="s">
        <v>398</v>
      </c>
      <c r="G596" s="238"/>
      <c r="H596" s="224">
        <f>+IF(ISBLANK(I596),0,VLOOKUP(I596,'8Příloha_2_ceník_pravid_úklid'!$B$9:$C$30,2,0))</f>
        <v>0</v>
      </c>
      <c r="I596" s="229"/>
      <c r="J596" s="399"/>
      <c r="K596" s="229"/>
      <c r="L596" s="242" t="s">
        <v>387</v>
      </c>
      <c r="M596" s="237"/>
      <c r="N596" s="229" t="s">
        <v>501</v>
      </c>
      <c r="O596" s="230">
        <v>0</v>
      </c>
      <c r="P596" s="230">
        <v>0</v>
      </c>
      <c r="Q596" s="230">
        <v>0</v>
      </c>
      <c r="R596" s="230">
        <v>0</v>
      </c>
      <c r="S596" s="231">
        <f>NETWORKDAYS.INTL(DATE(2018,1,1),DATE(2018,12,31),1,{"2018/1/1";"2018/3/30";"2018/4/2";"2018/5/1";"2018/5/8";"2018/7/5";"2018/7/6";"2018/09/28";"2018/11/17";"2018/12/24";"2018/12/25";"2018/12/26"})</f>
        <v>250</v>
      </c>
      <c r="T596" s="231">
        <f t="shared" si="49"/>
        <v>115</v>
      </c>
      <c r="U596" s="231">
        <f t="shared" si="50"/>
        <v>365</v>
      </c>
      <c r="V596" s="312">
        <f t="shared" si="51"/>
        <v>0</v>
      </c>
      <c r="W596" s="233">
        <f t="shared" si="52"/>
        <v>0</v>
      </c>
      <c r="X596" s="234">
        <f t="shared" si="53"/>
        <v>0</v>
      </c>
      <c r="Y596" s="234">
        <f t="shared" si="53"/>
        <v>0</v>
      </c>
    </row>
    <row r="597" spans="1:25" ht="15" x14ac:dyDescent="0.2">
      <c r="A597" s="235" t="s">
        <v>762</v>
      </c>
      <c r="B597" s="396" t="s">
        <v>611</v>
      </c>
      <c r="C597" s="396"/>
      <c r="D597" s="535">
        <f>VLOOKUP(C597,'Seznam HS - nemaš'!$A$1:$B$96,2,FALSE)</f>
        <v>0</v>
      </c>
      <c r="E597" s="229"/>
      <c r="F597" s="238" t="s">
        <v>766</v>
      </c>
      <c r="G597" s="238"/>
      <c r="H597" s="224">
        <f>+IF(ISBLANK(I597),0,VLOOKUP(I597,'8Příloha_2_ceník_pravid_úklid'!$B$9:$C$30,2,0))</f>
        <v>0</v>
      </c>
      <c r="I597" s="229"/>
      <c r="J597" s="233">
        <v>7.26</v>
      </c>
      <c r="K597" s="229"/>
      <c r="L597" s="242" t="s">
        <v>387</v>
      </c>
      <c r="M597" s="237"/>
      <c r="N597" s="229" t="s">
        <v>501</v>
      </c>
      <c r="O597" s="230">
        <v>0</v>
      </c>
      <c r="P597" s="230">
        <v>0</v>
      </c>
      <c r="Q597" s="230">
        <v>0</v>
      </c>
      <c r="R597" s="230">
        <v>0</v>
      </c>
      <c r="S597" s="231">
        <f>NETWORKDAYS.INTL(DATE(2018,1,1),DATE(2018,12,31),1,{"2018/1/1";"2018/3/30";"2018/4/2";"2018/5/1";"2018/5/8";"2018/7/5";"2018/7/6";"2018/09/28";"2018/11/17";"2018/12/24";"2018/12/25";"2018/12/26"})</f>
        <v>250</v>
      </c>
      <c r="T597" s="231">
        <f t="shared" si="49"/>
        <v>115</v>
      </c>
      <c r="U597" s="231">
        <f t="shared" si="50"/>
        <v>365</v>
      </c>
      <c r="V597" s="312">
        <f t="shared" si="51"/>
        <v>0</v>
      </c>
      <c r="W597" s="233">
        <f t="shared" si="52"/>
        <v>0</v>
      </c>
      <c r="X597" s="234">
        <f t="shared" si="53"/>
        <v>0</v>
      </c>
      <c r="Y597" s="234">
        <f t="shared" si="53"/>
        <v>0</v>
      </c>
    </row>
    <row r="598" spans="1:25" ht="15" x14ac:dyDescent="0.2">
      <c r="A598" s="235" t="s">
        <v>1453</v>
      </c>
      <c r="B598" s="396" t="s">
        <v>611</v>
      </c>
      <c r="C598" s="396"/>
      <c r="D598" s="535">
        <f>VLOOKUP(C598,'Seznam HS - nemaš'!$A$1:$B$96,2,FALSE)</f>
        <v>0</v>
      </c>
      <c r="E598" s="229" t="s">
        <v>1454</v>
      </c>
      <c r="F598" s="238" t="s">
        <v>336</v>
      </c>
      <c r="G598" s="238" t="s">
        <v>1024</v>
      </c>
      <c r="H598" s="224">
        <f>+IF(ISBLANK(I598),0,VLOOKUP(I598,'8Příloha_2_ceník_pravid_úklid'!$B$9:$C$30,2,0))</f>
        <v>0</v>
      </c>
      <c r="I598" s="229"/>
      <c r="J598" s="233">
        <v>11.2</v>
      </c>
      <c r="K598" s="229"/>
      <c r="L598" s="242" t="s">
        <v>387</v>
      </c>
      <c r="M598" s="237"/>
      <c r="N598" s="229" t="s">
        <v>501</v>
      </c>
      <c r="O598" s="230">
        <v>0</v>
      </c>
      <c r="P598" s="230">
        <v>0</v>
      </c>
      <c r="Q598" s="230">
        <v>0</v>
      </c>
      <c r="R598" s="230">
        <v>0</v>
      </c>
      <c r="S598" s="231">
        <f>NETWORKDAYS.INTL(DATE(2018,1,1),DATE(2018,12,31),1,{"2018/1/1";"2018/3/30";"2018/4/2";"2018/5/1";"2018/5/8";"2018/7/5";"2018/7/6";"2018/09/28";"2018/11/17";"2018/12/24";"2018/12/25";"2018/12/26"})</f>
        <v>250</v>
      </c>
      <c r="T598" s="231">
        <f t="shared" si="49"/>
        <v>115</v>
      </c>
      <c r="U598" s="231">
        <f t="shared" si="50"/>
        <v>365</v>
      </c>
      <c r="V598" s="312">
        <f t="shared" si="51"/>
        <v>0</v>
      </c>
      <c r="W598" s="233">
        <f t="shared" si="52"/>
        <v>0</v>
      </c>
      <c r="X598" s="234">
        <f t="shared" si="53"/>
        <v>0</v>
      </c>
      <c r="Y598" s="234">
        <f t="shared" si="53"/>
        <v>0</v>
      </c>
    </row>
    <row r="599" spans="1:25" ht="15" x14ac:dyDescent="0.2">
      <c r="A599" s="235" t="s">
        <v>1453</v>
      </c>
      <c r="B599" s="396" t="s">
        <v>611</v>
      </c>
      <c r="C599" s="396"/>
      <c r="D599" s="535">
        <f>VLOOKUP(C599,'Seznam HS - nemaš'!$A$1:$B$96,2,FALSE)</f>
        <v>0</v>
      </c>
      <c r="E599" s="229" t="s">
        <v>1455</v>
      </c>
      <c r="F599" s="238" t="s">
        <v>856</v>
      </c>
      <c r="G599" s="238" t="s">
        <v>1024</v>
      </c>
      <c r="H599" s="224">
        <f>+IF(ISBLANK(I599),0,VLOOKUP(I599,'8Příloha_2_ceník_pravid_úklid'!$B$9:$C$30,2,0))</f>
        <v>0</v>
      </c>
      <c r="I599" s="229"/>
      <c r="J599" s="233">
        <v>47.23</v>
      </c>
      <c r="K599" s="229"/>
      <c r="L599" s="242" t="s">
        <v>387</v>
      </c>
      <c r="M599" s="237"/>
      <c r="N599" s="229" t="s">
        <v>501</v>
      </c>
      <c r="O599" s="230">
        <v>0</v>
      </c>
      <c r="P599" s="230">
        <v>0</v>
      </c>
      <c r="Q599" s="230">
        <v>0</v>
      </c>
      <c r="R599" s="230">
        <v>0</v>
      </c>
      <c r="S599" s="231">
        <f>NETWORKDAYS.INTL(DATE(2018,1,1),DATE(2018,12,31),1,{"2018/1/1";"2018/3/30";"2018/4/2";"2018/5/1";"2018/5/8";"2018/7/5";"2018/7/6";"2018/09/28";"2018/11/17";"2018/12/24";"2018/12/25";"2018/12/26"})</f>
        <v>250</v>
      </c>
      <c r="T599" s="231">
        <f t="shared" si="49"/>
        <v>115</v>
      </c>
      <c r="U599" s="231">
        <f t="shared" si="50"/>
        <v>365</v>
      </c>
      <c r="V599" s="312">
        <f t="shared" si="51"/>
        <v>0</v>
      </c>
      <c r="W599" s="233">
        <f t="shared" si="52"/>
        <v>0</v>
      </c>
      <c r="X599" s="234">
        <f t="shared" si="53"/>
        <v>0</v>
      </c>
      <c r="Y599" s="234">
        <f t="shared" si="53"/>
        <v>0</v>
      </c>
    </row>
    <row r="600" spans="1:25" ht="15" x14ac:dyDescent="0.2">
      <c r="A600" s="235" t="s">
        <v>1453</v>
      </c>
      <c r="B600" s="396" t="s">
        <v>611</v>
      </c>
      <c r="C600" s="400" t="s">
        <v>273</v>
      </c>
      <c r="D600" s="535" t="e">
        <f>VLOOKUP(C600,'Seznam HS - nemaš'!$A$1:$B$96,2,FALSE)</f>
        <v>#N/A</v>
      </c>
      <c r="E600" s="229" t="s">
        <v>1456</v>
      </c>
      <c r="F600" s="238" t="s">
        <v>1457</v>
      </c>
      <c r="G600" s="238"/>
      <c r="H600" s="224">
        <f>+IF(ISBLANK(I600),0,VLOOKUP(I600,'8Příloha_2_ceník_pravid_úklid'!$B$9:$C$30,2,0))</f>
        <v>0</v>
      </c>
      <c r="I600" s="229"/>
      <c r="J600" s="233">
        <v>1.7</v>
      </c>
      <c r="K600" s="229"/>
      <c r="L600" s="242" t="s">
        <v>387</v>
      </c>
      <c r="M600" s="237"/>
      <c r="N600" s="229" t="s">
        <v>501</v>
      </c>
      <c r="O600" s="230">
        <v>0</v>
      </c>
      <c r="P600" s="230">
        <v>0</v>
      </c>
      <c r="Q600" s="230">
        <v>0</v>
      </c>
      <c r="R600" s="230">
        <v>0</v>
      </c>
      <c r="S600" s="231">
        <f>NETWORKDAYS.INTL(DATE(2018,1,1),DATE(2018,12,31),1,{"2018/1/1";"2018/3/30";"2018/4/2";"2018/5/1";"2018/5/8";"2018/7/5";"2018/7/6";"2018/09/28";"2018/11/17";"2018/12/24";"2018/12/25";"2018/12/26"})</f>
        <v>250</v>
      </c>
      <c r="T600" s="231">
        <f t="shared" si="49"/>
        <v>115</v>
      </c>
      <c r="U600" s="231">
        <f t="shared" si="50"/>
        <v>365</v>
      </c>
      <c r="V600" s="312">
        <f t="shared" si="51"/>
        <v>0</v>
      </c>
      <c r="W600" s="233">
        <f t="shared" si="52"/>
        <v>0</v>
      </c>
      <c r="X600" s="234">
        <f t="shared" si="53"/>
        <v>0</v>
      </c>
      <c r="Y600" s="234">
        <f t="shared" si="53"/>
        <v>0</v>
      </c>
    </row>
    <row r="601" spans="1:25" ht="15" x14ac:dyDescent="0.2">
      <c r="A601" s="235" t="s">
        <v>1453</v>
      </c>
      <c r="B601" s="396" t="s">
        <v>611</v>
      </c>
      <c r="C601" s="400" t="s">
        <v>273</v>
      </c>
      <c r="D601" s="535" t="e">
        <f>VLOOKUP(C601,'Seznam HS - nemaš'!$A$1:$B$96,2,FALSE)</f>
        <v>#N/A</v>
      </c>
      <c r="E601" s="229" t="s">
        <v>1458</v>
      </c>
      <c r="F601" s="238" t="s">
        <v>437</v>
      </c>
      <c r="G601" s="238"/>
      <c r="H601" s="224">
        <f>+IF(ISBLANK(I601),0,VLOOKUP(I601,'8Příloha_2_ceník_pravid_úklid'!$B$9:$C$30,2,0))</f>
        <v>0</v>
      </c>
      <c r="I601" s="229"/>
      <c r="J601" s="233">
        <v>1.7</v>
      </c>
      <c r="K601" s="229"/>
      <c r="L601" s="242" t="s">
        <v>387</v>
      </c>
      <c r="M601" s="237"/>
      <c r="N601" s="229" t="s">
        <v>501</v>
      </c>
      <c r="O601" s="230">
        <v>0</v>
      </c>
      <c r="P601" s="230">
        <v>0</v>
      </c>
      <c r="Q601" s="230">
        <v>0</v>
      </c>
      <c r="R601" s="230">
        <v>0</v>
      </c>
      <c r="S601" s="231">
        <f>NETWORKDAYS.INTL(DATE(2018,1,1),DATE(2018,12,31),1,{"2018/1/1";"2018/3/30";"2018/4/2";"2018/5/1";"2018/5/8";"2018/7/5";"2018/7/6";"2018/09/28";"2018/11/17";"2018/12/24";"2018/12/25";"2018/12/26"})</f>
        <v>250</v>
      </c>
      <c r="T601" s="231">
        <f t="shared" si="49"/>
        <v>115</v>
      </c>
      <c r="U601" s="231">
        <f t="shared" si="50"/>
        <v>365</v>
      </c>
      <c r="V601" s="312">
        <f t="shared" si="51"/>
        <v>0</v>
      </c>
      <c r="W601" s="233">
        <f t="shared" si="52"/>
        <v>0</v>
      </c>
      <c r="X601" s="234">
        <f t="shared" si="53"/>
        <v>0</v>
      </c>
      <c r="Y601" s="234">
        <f t="shared" si="53"/>
        <v>0</v>
      </c>
    </row>
    <row r="602" spans="1:25" ht="15" x14ac:dyDescent="0.2">
      <c r="A602" s="251" t="s">
        <v>1453</v>
      </c>
      <c r="B602" s="400" t="s">
        <v>611</v>
      </c>
      <c r="C602" s="400" t="s">
        <v>273</v>
      </c>
      <c r="D602" s="542" t="e">
        <f>VLOOKUP(C602,'Seznam HS - nemaš'!$A$1:$B$96,2,FALSE)</f>
        <v>#N/A</v>
      </c>
      <c r="E602" s="260" t="s">
        <v>1459</v>
      </c>
      <c r="F602" s="254" t="s">
        <v>1460</v>
      </c>
      <c r="G602" s="254" t="s">
        <v>1461</v>
      </c>
      <c r="H602" s="296">
        <f>+IF(ISBLANK(I602),0,VLOOKUP(I602,'8Příloha_2_ceník_pravid_úklid'!$B$9:$C$30,2,0))</f>
        <v>0</v>
      </c>
      <c r="I602" s="260"/>
      <c r="J602" s="264">
        <v>14.81</v>
      </c>
      <c r="K602" s="260"/>
      <c r="L602" s="259" t="s">
        <v>387</v>
      </c>
      <c r="M602" s="253"/>
      <c r="N602" s="260" t="s">
        <v>501</v>
      </c>
      <c r="O602" s="261">
        <v>0</v>
      </c>
      <c r="P602" s="261">
        <v>0</v>
      </c>
      <c r="Q602" s="261">
        <v>0</v>
      </c>
      <c r="R602" s="261">
        <v>0</v>
      </c>
      <c r="S602" s="262">
        <f>NETWORKDAYS.INTL(DATE(2018,1,1),DATE(2018,12,31),1,{"2018/1/1";"2018/3/30";"2018/4/2";"2018/5/1";"2018/5/8";"2018/7/5";"2018/7/6";"2018/09/28";"2018/11/17";"2018/12/24";"2018/12/25";"2018/12/26"})</f>
        <v>250</v>
      </c>
      <c r="T602" s="262">
        <f t="shared" si="49"/>
        <v>115</v>
      </c>
      <c r="U602" s="262">
        <f t="shared" si="50"/>
        <v>365</v>
      </c>
      <c r="V602" s="376">
        <f t="shared" si="51"/>
        <v>0</v>
      </c>
      <c r="W602" s="264">
        <f t="shared" si="52"/>
        <v>0</v>
      </c>
      <c r="X602" s="265">
        <f t="shared" si="53"/>
        <v>0</v>
      </c>
      <c r="Y602" s="265">
        <f t="shared" si="53"/>
        <v>0</v>
      </c>
    </row>
    <row r="603" spans="1:25" ht="15" x14ac:dyDescent="0.2">
      <c r="A603" s="338" t="s">
        <v>767</v>
      </c>
      <c r="B603" s="401" t="s">
        <v>629</v>
      </c>
      <c r="C603" s="401"/>
      <c r="D603" s="139">
        <f>VLOOKUP(C603,'Seznam HS - nemaš'!$A$1:$B$96,2,FALSE)</f>
        <v>0</v>
      </c>
      <c r="E603" s="24" t="s">
        <v>1462</v>
      </c>
      <c r="F603" s="150" t="s">
        <v>53</v>
      </c>
      <c r="G603" s="150"/>
      <c r="H603" s="28">
        <f>+IF(ISBLANK(I603),0,VLOOKUP(I603,'8Příloha_2_ceník_pravid_úklid'!$B$9:$C$30,2,0))</f>
        <v>6</v>
      </c>
      <c r="I603" s="24" t="s">
        <v>1</v>
      </c>
      <c r="J603" s="151">
        <v>91.14</v>
      </c>
      <c r="K603" s="24" t="s">
        <v>52</v>
      </c>
      <c r="L603" s="152" t="s">
        <v>21</v>
      </c>
      <c r="M603" s="29" t="s">
        <v>49</v>
      </c>
      <c r="N603" s="24">
        <f>IF((VLOOKUP(I603,'8Příloha_2_ceník_pravid_úklid'!$B$9:$I$30,8,0))=0,VLOOKUP(I603,'8Příloha_2_ceník_pravid_úklid'!$B$9:$K$30,10,0),VLOOKUP(I603,'8Příloha_2_ceník_pravid_úklid'!$B$9:$I$30,8,0))</f>
        <v>0</v>
      </c>
      <c r="O603" s="25">
        <v>1</v>
      </c>
      <c r="P603" s="25">
        <v>1</v>
      </c>
      <c r="Q603" s="25">
        <v>0</v>
      </c>
      <c r="R603" s="25">
        <v>0</v>
      </c>
      <c r="S603" s="26">
        <f>NETWORKDAYS.INTL(DATE(2018,1,1),DATE(2018,12,31),1,{"2018/1/1";"2018/3/30";"2018/4/2";"2018/5/1";"2018/5/8";"2018/7/5";"2018/7/6";"2018/09/28";"2018/11/17";"2018/12/24";"2018/12/25";"2018/12/26"})</f>
        <v>250</v>
      </c>
      <c r="T603" s="26">
        <f t="shared" si="49"/>
        <v>115</v>
      </c>
      <c r="U603" s="26">
        <f t="shared" si="50"/>
        <v>365</v>
      </c>
      <c r="V603" s="314">
        <f t="shared" si="51"/>
        <v>250</v>
      </c>
      <c r="W603" s="173">
        <f t="shared" si="52"/>
        <v>0</v>
      </c>
      <c r="X603" s="174">
        <f t="shared" si="53"/>
        <v>0</v>
      </c>
      <c r="Y603" s="141">
        <v>0</v>
      </c>
    </row>
    <row r="604" spans="1:25" ht="15" x14ac:dyDescent="0.2">
      <c r="A604" s="276" t="s">
        <v>1463</v>
      </c>
      <c r="B604" s="391" t="s">
        <v>629</v>
      </c>
      <c r="C604" s="391" t="s">
        <v>181</v>
      </c>
      <c r="D604" s="139" t="str">
        <f>VLOOKUP(C604,'Seznam HS - nemaš'!$A$1:$B$96,2,FALSE)</f>
        <v>417400</v>
      </c>
      <c r="E604" s="19" t="s">
        <v>1464</v>
      </c>
      <c r="F604" s="154" t="s">
        <v>329</v>
      </c>
      <c r="G604" s="154" t="s">
        <v>1465</v>
      </c>
      <c r="H604" s="28">
        <f>+IF(ISBLANK(I604),0,VLOOKUP(I604,'8Příloha_2_ceník_pravid_úklid'!$B$9:$C$30,2,0))</f>
        <v>4</v>
      </c>
      <c r="I604" s="19" t="s">
        <v>9</v>
      </c>
      <c r="J604" s="155">
        <v>19.88</v>
      </c>
      <c r="K604" s="19" t="s">
        <v>52</v>
      </c>
      <c r="L604" s="156" t="s">
        <v>637</v>
      </c>
      <c r="M604" s="22" t="s">
        <v>49</v>
      </c>
      <c r="N604" s="24">
        <f>IF((VLOOKUP(I604,'8Příloha_2_ceník_pravid_úklid'!$B$9:$I$30,8,0))=0,VLOOKUP(I604,'8Příloha_2_ceník_pravid_úklid'!$B$9:$K$30,10,0),VLOOKUP(I604,'8Příloha_2_ceník_pravid_úklid'!$B$9:$I$30,8,0))</f>
        <v>0</v>
      </c>
      <c r="O604" s="20">
        <v>1</v>
      </c>
      <c r="P604" s="20">
        <f>2/5</f>
        <v>0.4</v>
      </c>
      <c r="Q604" s="20">
        <v>0</v>
      </c>
      <c r="R604" s="20">
        <v>0</v>
      </c>
      <c r="S604" s="21">
        <f>NETWORKDAYS.INTL(DATE(2018,1,1),DATE(2018,12,31),1,{"2018/1/1";"2018/3/30";"2018/4/2";"2018/5/1";"2018/5/8";"2018/7/5";"2018/7/6";"2018/09/28";"2018/11/17";"2018/12/24";"2018/12/25";"2018/12/26"})</f>
        <v>250</v>
      </c>
      <c r="T604" s="21">
        <f t="shared" si="49"/>
        <v>115</v>
      </c>
      <c r="U604" s="21">
        <f t="shared" si="50"/>
        <v>365</v>
      </c>
      <c r="V604" s="311">
        <f t="shared" si="51"/>
        <v>100</v>
      </c>
      <c r="W604" s="140">
        <f t="shared" si="52"/>
        <v>0</v>
      </c>
      <c r="X604" s="141">
        <f t="shared" si="53"/>
        <v>0</v>
      </c>
      <c r="Y604" s="141">
        <v>0</v>
      </c>
    </row>
    <row r="605" spans="1:25" ht="15" x14ac:dyDescent="0.2">
      <c r="A605" s="235" t="s">
        <v>1463</v>
      </c>
      <c r="B605" s="396" t="s">
        <v>629</v>
      </c>
      <c r="C605" s="396"/>
      <c r="D605" s="535">
        <f>VLOOKUP(C605,'Seznam HS - nemaš'!$A$1:$B$96,2,FALSE)</f>
        <v>0</v>
      </c>
      <c r="E605" s="229" t="s">
        <v>1466</v>
      </c>
      <c r="F605" s="238" t="s">
        <v>398</v>
      </c>
      <c r="G605" s="238"/>
      <c r="H605" s="224">
        <f>+IF(ISBLANK(I605),0,VLOOKUP(I605,'8Příloha_2_ceník_pravid_úklid'!$B$9:$C$30,2,0))</f>
        <v>0</v>
      </c>
      <c r="I605" s="229"/>
      <c r="J605" s="399"/>
      <c r="K605" s="229"/>
      <c r="L605" s="242" t="s">
        <v>387</v>
      </c>
      <c r="M605" s="237"/>
      <c r="N605" s="229" t="s">
        <v>501</v>
      </c>
      <c r="O605" s="230">
        <v>0</v>
      </c>
      <c r="P605" s="230">
        <v>0</v>
      </c>
      <c r="Q605" s="230">
        <v>0</v>
      </c>
      <c r="R605" s="230">
        <v>0</v>
      </c>
      <c r="S605" s="231">
        <f>NETWORKDAYS.INTL(DATE(2018,1,1),DATE(2018,12,31),1,{"2018/1/1";"2018/3/30";"2018/4/2";"2018/5/1";"2018/5/8";"2018/7/5";"2018/7/6";"2018/09/28";"2018/11/17";"2018/12/24";"2018/12/25";"2018/12/26"})</f>
        <v>250</v>
      </c>
      <c r="T605" s="231">
        <f t="shared" si="49"/>
        <v>115</v>
      </c>
      <c r="U605" s="231">
        <f t="shared" si="50"/>
        <v>365</v>
      </c>
      <c r="V605" s="312">
        <f t="shared" si="51"/>
        <v>0</v>
      </c>
      <c r="W605" s="233">
        <f t="shared" si="52"/>
        <v>0</v>
      </c>
      <c r="X605" s="234">
        <f t="shared" si="53"/>
        <v>0</v>
      </c>
      <c r="Y605" s="234">
        <f t="shared" si="53"/>
        <v>0</v>
      </c>
    </row>
    <row r="606" spans="1:25" ht="15" x14ac:dyDescent="0.2">
      <c r="A606" s="235" t="s">
        <v>1467</v>
      </c>
      <c r="B606" s="396" t="s">
        <v>629</v>
      </c>
      <c r="C606" s="396"/>
      <c r="D606" s="535">
        <f>VLOOKUP(C606,'Seznam HS - nemaš'!$A$1:$B$96,2,FALSE)</f>
        <v>0</v>
      </c>
      <c r="E606" s="229" t="s">
        <v>1468</v>
      </c>
      <c r="F606" s="238" t="s">
        <v>389</v>
      </c>
      <c r="G606" s="238"/>
      <c r="H606" s="224">
        <f>+IF(ISBLANK(I606),0,VLOOKUP(I606,'8Příloha_2_ceník_pravid_úklid'!$B$9:$C$30,2,0))</f>
        <v>17</v>
      </c>
      <c r="I606" s="229" t="s">
        <v>13</v>
      </c>
      <c r="J606" s="233">
        <v>9.94</v>
      </c>
      <c r="K606" s="229" t="s">
        <v>51</v>
      </c>
      <c r="L606" s="242" t="s">
        <v>387</v>
      </c>
      <c r="M606" s="237"/>
      <c r="N606" s="229" t="s">
        <v>501</v>
      </c>
      <c r="O606" s="230">
        <v>0</v>
      </c>
      <c r="P606" s="230">
        <v>0</v>
      </c>
      <c r="Q606" s="230">
        <v>0</v>
      </c>
      <c r="R606" s="230">
        <v>0</v>
      </c>
      <c r="S606" s="231">
        <f>NETWORKDAYS.INTL(DATE(2018,1,1),DATE(2018,12,31),1,{"2018/1/1";"2018/3/30";"2018/4/2";"2018/5/1";"2018/5/8";"2018/7/5";"2018/7/6";"2018/09/28";"2018/11/17";"2018/12/24";"2018/12/25";"2018/12/26"})</f>
        <v>250</v>
      </c>
      <c r="T606" s="231">
        <f t="shared" si="49"/>
        <v>115</v>
      </c>
      <c r="U606" s="231">
        <f t="shared" si="50"/>
        <v>365</v>
      </c>
      <c r="V606" s="312">
        <f t="shared" si="51"/>
        <v>0</v>
      </c>
      <c r="W606" s="233">
        <f t="shared" si="52"/>
        <v>0</v>
      </c>
      <c r="X606" s="234">
        <f t="shared" si="53"/>
        <v>0</v>
      </c>
      <c r="Y606" s="234">
        <f t="shared" si="53"/>
        <v>0</v>
      </c>
    </row>
    <row r="607" spans="1:25" ht="15" x14ac:dyDescent="0.2">
      <c r="A607" s="235" t="s">
        <v>1467</v>
      </c>
      <c r="B607" s="396" t="s">
        <v>629</v>
      </c>
      <c r="C607" s="396"/>
      <c r="D607" s="535">
        <f>VLOOKUP(C607,'Seznam HS - nemaš'!$A$1:$B$96,2,FALSE)</f>
        <v>0</v>
      </c>
      <c r="E607" s="229" t="s">
        <v>1469</v>
      </c>
      <c r="F607" s="238" t="s">
        <v>389</v>
      </c>
      <c r="G607" s="238"/>
      <c r="H607" s="224">
        <f>+IF(ISBLANK(I607),0,VLOOKUP(I607,'8Příloha_2_ceník_pravid_úklid'!$B$9:$C$30,2,0))</f>
        <v>17</v>
      </c>
      <c r="I607" s="229" t="s">
        <v>13</v>
      </c>
      <c r="J607" s="233">
        <v>9.94</v>
      </c>
      <c r="K607" s="229" t="s">
        <v>51</v>
      </c>
      <c r="L607" s="242" t="s">
        <v>387</v>
      </c>
      <c r="M607" s="237"/>
      <c r="N607" s="229" t="s">
        <v>501</v>
      </c>
      <c r="O607" s="230">
        <v>0</v>
      </c>
      <c r="P607" s="230">
        <v>0</v>
      </c>
      <c r="Q607" s="230">
        <v>0</v>
      </c>
      <c r="R607" s="230">
        <v>0</v>
      </c>
      <c r="S607" s="231">
        <f>NETWORKDAYS.INTL(DATE(2018,1,1),DATE(2018,12,31),1,{"2018/1/1";"2018/3/30";"2018/4/2";"2018/5/1";"2018/5/8";"2018/7/5";"2018/7/6";"2018/09/28";"2018/11/17";"2018/12/24";"2018/12/25";"2018/12/26"})</f>
        <v>250</v>
      </c>
      <c r="T607" s="231">
        <f t="shared" si="49"/>
        <v>115</v>
      </c>
      <c r="U607" s="231">
        <f t="shared" si="50"/>
        <v>365</v>
      </c>
      <c r="V607" s="312">
        <f t="shared" si="51"/>
        <v>0</v>
      </c>
      <c r="W607" s="233">
        <f t="shared" si="52"/>
        <v>0</v>
      </c>
      <c r="X607" s="234">
        <f t="shared" si="53"/>
        <v>0</v>
      </c>
      <c r="Y607" s="234">
        <f t="shared" si="53"/>
        <v>0</v>
      </c>
    </row>
    <row r="608" spans="1:25" ht="15" x14ac:dyDescent="0.2">
      <c r="A608" s="276" t="s">
        <v>767</v>
      </c>
      <c r="B608" s="391" t="s">
        <v>629</v>
      </c>
      <c r="C608" s="391"/>
      <c r="D608" s="139">
        <f>VLOOKUP(C608,'Seznam HS - nemaš'!$A$1:$B$96,2,FALSE)</f>
        <v>0</v>
      </c>
      <c r="E608" s="19" t="s">
        <v>1470</v>
      </c>
      <c r="F608" s="154" t="s">
        <v>552</v>
      </c>
      <c r="G608" s="154"/>
      <c r="H608" s="28">
        <f>+IF(ISBLANK(I608),0,VLOOKUP(I608,'8Příloha_2_ceník_pravid_úklid'!$B$9:$C$30,2,0))</f>
        <v>16</v>
      </c>
      <c r="I608" s="19" t="s">
        <v>6</v>
      </c>
      <c r="J608" s="155">
        <v>10.17</v>
      </c>
      <c r="K608" s="19" t="s">
        <v>51</v>
      </c>
      <c r="L608" s="156" t="s">
        <v>21</v>
      </c>
      <c r="M608" s="22" t="s">
        <v>49</v>
      </c>
      <c r="N608" s="24">
        <f>IF((VLOOKUP(I608,'8Příloha_2_ceník_pravid_úklid'!$B$9:$I$30,8,0))=0,VLOOKUP(I608,'8Příloha_2_ceník_pravid_úklid'!$B$9:$K$30,10,0),VLOOKUP(I608,'8Příloha_2_ceník_pravid_úklid'!$B$9:$I$30,8,0))</f>
        <v>0</v>
      </c>
      <c r="O608" s="20">
        <v>1</v>
      </c>
      <c r="P608" s="20">
        <v>1</v>
      </c>
      <c r="Q608" s="20">
        <v>0</v>
      </c>
      <c r="R608" s="20">
        <v>0</v>
      </c>
      <c r="S608" s="21">
        <f>NETWORKDAYS.INTL(DATE(2018,1,1),DATE(2018,12,31),1,{"2018/1/1";"2018/3/30";"2018/4/2";"2018/5/1";"2018/5/8";"2018/7/5";"2018/7/6";"2018/09/28";"2018/11/17";"2018/12/24";"2018/12/25";"2018/12/26"})</f>
        <v>250</v>
      </c>
      <c r="T608" s="21">
        <f t="shared" si="49"/>
        <v>115</v>
      </c>
      <c r="U608" s="21">
        <f t="shared" si="50"/>
        <v>365</v>
      </c>
      <c r="V608" s="311">
        <f t="shared" si="51"/>
        <v>250</v>
      </c>
      <c r="W608" s="140">
        <f t="shared" si="52"/>
        <v>0</v>
      </c>
      <c r="X608" s="141">
        <f t="shared" si="53"/>
        <v>0</v>
      </c>
      <c r="Y608" s="141">
        <v>0</v>
      </c>
    </row>
    <row r="609" spans="1:25" ht="15" x14ac:dyDescent="0.2">
      <c r="A609" s="276" t="s">
        <v>767</v>
      </c>
      <c r="B609" s="391" t="s">
        <v>629</v>
      </c>
      <c r="C609" s="391"/>
      <c r="D609" s="139">
        <f>VLOOKUP(C609,'Seznam HS - nemaš'!$A$1:$B$96,2,FALSE)</f>
        <v>0</v>
      </c>
      <c r="E609" s="19" t="s">
        <v>1471</v>
      </c>
      <c r="F609" s="154" t="s">
        <v>1090</v>
      </c>
      <c r="G609" s="154" t="s">
        <v>539</v>
      </c>
      <c r="H609" s="28">
        <f>+IF(ISBLANK(I609),0,VLOOKUP(I609,'8Příloha_2_ceník_pravid_úklid'!$B$9:$C$30,2,0))</f>
        <v>7</v>
      </c>
      <c r="I609" s="19" t="s">
        <v>14</v>
      </c>
      <c r="J609" s="155">
        <v>4.99</v>
      </c>
      <c r="K609" s="19" t="s">
        <v>50</v>
      </c>
      <c r="L609" s="156" t="s">
        <v>21</v>
      </c>
      <c r="M609" s="22" t="s">
        <v>49</v>
      </c>
      <c r="N609" s="24">
        <f>IF((VLOOKUP(I609,'8Příloha_2_ceník_pravid_úklid'!$B$9:$I$30,8,0))=0,VLOOKUP(I609,'8Příloha_2_ceník_pravid_úklid'!$B$9:$K$30,10,0),VLOOKUP(I609,'8Příloha_2_ceník_pravid_úklid'!$B$9:$I$30,8,0))</f>
        <v>0</v>
      </c>
      <c r="O609" s="20">
        <v>1</v>
      </c>
      <c r="P609" s="20">
        <v>1</v>
      </c>
      <c r="Q609" s="20">
        <v>0</v>
      </c>
      <c r="R609" s="20">
        <v>0</v>
      </c>
      <c r="S609" s="21">
        <f>NETWORKDAYS.INTL(DATE(2018,1,1),DATE(2018,12,31),1,{"2018/1/1";"2018/3/30";"2018/4/2";"2018/5/1";"2018/5/8";"2018/7/5";"2018/7/6";"2018/09/28";"2018/11/17";"2018/12/24";"2018/12/25";"2018/12/26"})</f>
        <v>250</v>
      </c>
      <c r="T609" s="21">
        <f t="shared" si="49"/>
        <v>115</v>
      </c>
      <c r="U609" s="21">
        <f t="shared" si="50"/>
        <v>365</v>
      </c>
      <c r="V609" s="311">
        <f t="shared" si="51"/>
        <v>250</v>
      </c>
      <c r="W609" s="140">
        <f t="shared" si="52"/>
        <v>0</v>
      </c>
      <c r="X609" s="141">
        <f t="shared" si="53"/>
        <v>0</v>
      </c>
      <c r="Y609" s="141">
        <v>0</v>
      </c>
    </row>
    <row r="610" spans="1:25" ht="15" x14ac:dyDescent="0.2">
      <c r="A610" s="235" t="s">
        <v>1453</v>
      </c>
      <c r="B610" s="396" t="s">
        <v>629</v>
      </c>
      <c r="C610" s="396"/>
      <c r="D610" s="535">
        <f>VLOOKUP(C610,'Seznam HS - nemaš'!$A$1:$B$96,2,FALSE)</f>
        <v>0</v>
      </c>
      <c r="E610" s="229" t="s">
        <v>1472</v>
      </c>
      <c r="F610" s="238" t="s">
        <v>1473</v>
      </c>
      <c r="G610" s="238"/>
      <c r="H610" s="224">
        <f>+IF(ISBLANK(I610),0,VLOOKUP(I610,'8Příloha_2_ceník_pravid_úklid'!$B$9:$C$30,2,0))</f>
        <v>0</v>
      </c>
      <c r="I610" s="229"/>
      <c r="J610" s="233">
        <v>6.1</v>
      </c>
      <c r="K610" s="229"/>
      <c r="L610" s="242" t="s">
        <v>387</v>
      </c>
      <c r="M610" s="237"/>
      <c r="N610" s="229" t="s">
        <v>501</v>
      </c>
      <c r="O610" s="230">
        <v>0</v>
      </c>
      <c r="P610" s="230">
        <v>0</v>
      </c>
      <c r="Q610" s="230">
        <v>0</v>
      </c>
      <c r="R610" s="230">
        <v>0</v>
      </c>
      <c r="S610" s="231">
        <f>NETWORKDAYS.INTL(DATE(2018,1,1),DATE(2018,12,31),1,{"2018/1/1";"2018/3/30";"2018/4/2";"2018/5/1";"2018/5/8";"2018/7/5";"2018/7/6";"2018/09/28";"2018/11/17";"2018/12/24";"2018/12/25";"2018/12/26"})</f>
        <v>250</v>
      </c>
      <c r="T610" s="231">
        <f t="shared" si="49"/>
        <v>115</v>
      </c>
      <c r="U610" s="231">
        <f t="shared" si="50"/>
        <v>365</v>
      </c>
      <c r="V610" s="312">
        <f t="shared" si="51"/>
        <v>0</v>
      </c>
      <c r="W610" s="233">
        <f t="shared" si="52"/>
        <v>0</v>
      </c>
      <c r="X610" s="234">
        <f t="shared" si="53"/>
        <v>0</v>
      </c>
      <c r="Y610" s="234">
        <f t="shared" si="53"/>
        <v>0</v>
      </c>
    </row>
    <row r="611" spans="1:25" ht="15" x14ac:dyDescent="0.2">
      <c r="A611" s="235" t="s">
        <v>767</v>
      </c>
      <c r="B611" s="396" t="s">
        <v>629</v>
      </c>
      <c r="C611" s="396"/>
      <c r="D611" s="535">
        <f>VLOOKUP(C611,'Seznam HS - nemaš'!$A$1:$B$96,2,FALSE)</f>
        <v>0</v>
      </c>
      <c r="E611" s="229" t="s">
        <v>1474</v>
      </c>
      <c r="F611" s="238" t="s">
        <v>68</v>
      </c>
      <c r="G611" s="238"/>
      <c r="H611" s="224">
        <f>+IF(ISBLANK(I611),0,VLOOKUP(I611,'8Příloha_2_ceník_pravid_úklid'!$B$9:$C$30,2,0))</f>
        <v>0</v>
      </c>
      <c r="I611" s="229"/>
      <c r="J611" s="233">
        <v>1.42</v>
      </c>
      <c r="K611" s="229"/>
      <c r="L611" s="310" t="s">
        <v>66</v>
      </c>
      <c r="M611" s="237"/>
      <c r="N611" s="229" t="s">
        <v>501</v>
      </c>
      <c r="O611" s="230">
        <v>0</v>
      </c>
      <c r="P611" s="230">
        <v>0</v>
      </c>
      <c r="Q611" s="230">
        <v>0</v>
      </c>
      <c r="R611" s="230">
        <v>0</v>
      </c>
      <c r="S611" s="231">
        <f>NETWORKDAYS.INTL(DATE(2018,1,1),DATE(2018,12,31),1,{"2018/1/1";"2018/3/30";"2018/4/2";"2018/5/1";"2018/5/8";"2018/7/5";"2018/7/6";"2018/09/28";"2018/11/17";"2018/12/24";"2018/12/25";"2018/12/26"})</f>
        <v>250</v>
      </c>
      <c r="T611" s="231">
        <f t="shared" si="49"/>
        <v>115</v>
      </c>
      <c r="U611" s="231">
        <f t="shared" si="50"/>
        <v>365</v>
      </c>
      <c r="V611" s="312">
        <f t="shared" si="51"/>
        <v>0</v>
      </c>
      <c r="W611" s="233">
        <f t="shared" si="52"/>
        <v>0</v>
      </c>
      <c r="X611" s="234">
        <f t="shared" si="53"/>
        <v>0</v>
      </c>
      <c r="Y611" s="234">
        <f t="shared" si="53"/>
        <v>0</v>
      </c>
    </row>
    <row r="612" spans="1:25" ht="15" x14ac:dyDescent="0.2">
      <c r="A612" s="276" t="s">
        <v>767</v>
      </c>
      <c r="B612" s="391" t="s">
        <v>629</v>
      </c>
      <c r="C612" s="391"/>
      <c r="D612" s="139">
        <f>VLOOKUP(C612,'Seznam HS - nemaš'!$A$1:$B$96,2,FALSE)</f>
        <v>0</v>
      </c>
      <c r="E612" s="19" t="s">
        <v>1475</v>
      </c>
      <c r="F612" s="154" t="s">
        <v>437</v>
      </c>
      <c r="G612" s="154" t="s">
        <v>1476</v>
      </c>
      <c r="H612" s="28">
        <f>+IF(ISBLANK(I612),0,VLOOKUP(I612,'8Příloha_2_ceník_pravid_úklid'!$B$9:$C$30,2,0))</f>
        <v>7</v>
      </c>
      <c r="I612" s="19" t="s">
        <v>14</v>
      </c>
      <c r="J612" s="155">
        <v>4.16</v>
      </c>
      <c r="K612" s="19" t="s">
        <v>50</v>
      </c>
      <c r="L612" s="156" t="s">
        <v>21</v>
      </c>
      <c r="M612" s="22" t="s">
        <v>49</v>
      </c>
      <c r="N612" s="24">
        <f>IF((VLOOKUP(I612,'8Příloha_2_ceník_pravid_úklid'!$B$9:$I$30,8,0))=0,VLOOKUP(I612,'8Příloha_2_ceník_pravid_úklid'!$B$9:$K$30,10,0),VLOOKUP(I612,'8Příloha_2_ceník_pravid_úklid'!$B$9:$I$30,8,0))</f>
        <v>0</v>
      </c>
      <c r="O612" s="20">
        <v>1</v>
      </c>
      <c r="P612" s="20">
        <v>1</v>
      </c>
      <c r="Q612" s="20">
        <v>0</v>
      </c>
      <c r="R612" s="20">
        <v>0</v>
      </c>
      <c r="S612" s="21">
        <f>NETWORKDAYS.INTL(DATE(2018,1,1),DATE(2018,12,31),1,{"2018/1/1";"2018/3/30";"2018/4/2";"2018/5/1";"2018/5/8";"2018/7/5";"2018/7/6";"2018/09/28";"2018/11/17";"2018/12/24";"2018/12/25";"2018/12/26"})</f>
        <v>250</v>
      </c>
      <c r="T612" s="21">
        <f t="shared" si="49"/>
        <v>115</v>
      </c>
      <c r="U612" s="21">
        <f t="shared" si="50"/>
        <v>365</v>
      </c>
      <c r="V612" s="311">
        <f t="shared" si="51"/>
        <v>250</v>
      </c>
      <c r="W612" s="140">
        <f t="shared" si="52"/>
        <v>0</v>
      </c>
      <c r="X612" s="141">
        <f t="shared" si="53"/>
        <v>0</v>
      </c>
      <c r="Y612" s="141">
        <v>0</v>
      </c>
    </row>
    <row r="613" spans="1:25" ht="15" x14ac:dyDescent="0.2">
      <c r="A613" s="276" t="s">
        <v>767</v>
      </c>
      <c r="B613" s="391" t="s">
        <v>629</v>
      </c>
      <c r="C613" s="391"/>
      <c r="D613" s="139">
        <f>VLOOKUP(C613,'Seznam HS - nemaš'!$A$1:$B$96,2,FALSE)</f>
        <v>0</v>
      </c>
      <c r="E613" s="19" t="s">
        <v>1477</v>
      </c>
      <c r="F613" s="154" t="s">
        <v>1478</v>
      </c>
      <c r="G613" s="154" t="s">
        <v>539</v>
      </c>
      <c r="H613" s="28">
        <f>+IF(ISBLANK(I613),0,VLOOKUP(I613,'8Příloha_2_ceník_pravid_úklid'!$B$9:$C$30,2,0))</f>
        <v>7</v>
      </c>
      <c r="I613" s="19" t="s">
        <v>14</v>
      </c>
      <c r="J613" s="155">
        <v>3.89</v>
      </c>
      <c r="K613" s="19" t="s">
        <v>50</v>
      </c>
      <c r="L613" s="156" t="s">
        <v>21</v>
      </c>
      <c r="M613" s="22" t="s">
        <v>49</v>
      </c>
      <c r="N613" s="24">
        <f>IF((VLOOKUP(I613,'8Příloha_2_ceník_pravid_úklid'!$B$9:$I$30,8,0))=0,VLOOKUP(I613,'8Příloha_2_ceník_pravid_úklid'!$B$9:$K$30,10,0),VLOOKUP(I613,'8Příloha_2_ceník_pravid_úklid'!$B$9:$I$30,8,0))</f>
        <v>0</v>
      </c>
      <c r="O613" s="20">
        <v>1</v>
      </c>
      <c r="P613" s="20">
        <v>1</v>
      </c>
      <c r="Q613" s="20">
        <v>0</v>
      </c>
      <c r="R613" s="20">
        <v>0</v>
      </c>
      <c r="S613" s="21">
        <f>NETWORKDAYS.INTL(DATE(2018,1,1),DATE(2018,12,31),1,{"2018/1/1";"2018/3/30";"2018/4/2";"2018/5/1";"2018/5/8";"2018/7/5";"2018/7/6";"2018/09/28";"2018/11/17";"2018/12/24";"2018/12/25";"2018/12/26"})</f>
        <v>250</v>
      </c>
      <c r="T613" s="21">
        <f t="shared" si="49"/>
        <v>115</v>
      </c>
      <c r="U613" s="21">
        <f t="shared" si="50"/>
        <v>365</v>
      </c>
      <c r="V613" s="311">
        <f t="shared" si="51"/>
        <v>250</v>
      </c>
      <c r="W613" s="140">
        <f t="shared" si="52"/>
        <v>0</v>
      </c>
      <c r="X613" s="141">
        <f t="shared" si="53"/>
        <v>0</v>
      </c>
      <c r="Y613" s="141">
        <v>0</v>
      </c>
    </row>
    <row r="614" spans="1:25" ht="15" x14ac:dyDescent="0.2">
      <c r="A614" s="276" t="s">
        <v>767</v>
      </c>
      <c r="B614" s="391" t="s">
        <v>629</v>
      </c>
      <c r="C614" s="391"/>
      <c r="D614" s="139">
        <f>VLOOKUP(C614,'Seznam HS - nemaš'!$A$1:$B$96,2,FALSE)</f>
        <v>0</v>
      </c>
      <c r="E614" s="19" t="s">
        <v>1479</v>
      </c>
      <c r="F614" s="154" t="s">
        <v>1480</v>
      </c>
      <c r="G614" s="154" t="s">
        <v>540</v>
      </c>
      <c r="H614" s="28">
        <f>+IF(ISBLANK(I614),0,VLOOKUP(I614,'8Příloha_2_ceník_pravid_úklid'!$B$9:$C$30,2,0))</f>
        <v>7</v>
      </c>
      <c r="I614" s="19" t="s">
        <v>14</v>
      </c>
      <c r="J614" s="155">
        <v>3.89</v>
      </c>
      <c r="K614" s="19" t="s">
        <v>50</v>
      </c>
      <c r="L614" s="156" t="s">
        <v>21</v>
      </c>
      <c r="M614" s="22" t="s">
        <v>49</v>
      </c>
      <c r="N614" s="24">
        <f>IF((VLOOKUP(I614,'8Příloha_2_ceník_pravid_úklid'!$B$9:$I$30,8,0))=0,VLOOKUP(I614,'8Příloha_2_ceník_pravid_úklid'!$B$9:$K$30,10,0),VLOOKUP(I614,'8Příloha_2_ceník_pravid_úklid'!$B$9:$I$30,8,0))</f>
        <v>0</v>
      </c>
      <c r="O614" s="20">
        <v>1</v>
      </c>
      <c r="P614" s="20">
        <v>1</v>
      </c>
      <c r="Q614" s="20">
        <v>0</v>
      </c>
      <c r="R614" s="20">
        <v>0</v>
      </c>
      <c r="S614" s="21">
        <f>NETWORKDAYS.INTL(DATE(2018,1,1),DATE(2018,12,31),1,{"2018/1/1";"2018/3/30";"2018/4/2";"2018/5/1";"2018/5/8";"2018/7/5";"2018/7/6";"2018/09/28";"2018/11/17";"2018/12/24";"2018/12/25";"2018/12/26"})</f>
        <v>250</v>
      </c>
      <c r="T614" s="21">
        <f t="shared" si="49"/>
        <v>115</v>
      </c>
      <c r="U614" s="21">
        <f t="shared" si="50"/>
        <v>365</v>
      </c>
      <c r="V614" s="311">
        <f t="shared" si="51"/>
        <v>250</v>
      </c>
      <c r="W614" s="140">
        <f t="shared" si="52"/>
        <v>0</v>
      </c>
      <c r="X614" s="141">
        <f t="shared" si="53"/>
        <v>0</v>
      </c>
      <c r="Y614" s="141">
        <v>0</v>
      </c>
    </row>
    <row r="615" spans="1:25" ht="15" x14ac:dyDescent="0.2">
      <c r="A615" s="276" t="s">
        <v>1463</v>
      </c>
      <c r="B615" s="391" t="s">
        <v>629</v>
      </c>
      <c r="C615" s="391" t="s">
        <v>209</v>
      </c>
      <c r="D615" s="139" t="str">
        <f>VLOOKUP(C615,'Seznam HS - nemaš'!$A$1:$B$96,2,FALSE)</f>
        <v>438100</v>
      </c>
      <c r="E615" s="19" t="s">
        <v>1481</v>
      </c>
      <c r="F615" s="154" t="s">
        <v>329</v>
      </c>
      <c r="G615" s="154" t="s">
        <v>1465</v>
      </c>
      <c r="H615" s="28">
        <f>+IF(ISBLANK(I615),0,VLOOKUP(I615,'8Příloha_2_ceník_pravid_úklid'!$B$9:$C$30,2,0))</f>
        <v>4</v>
      </c>
      <c r="I615" s="19" t="s">
        <v>9</v>
      </c>
      <c r="J615" s="155">
        <v>26.88</v>
      </c>
      <c r="K615" s="19" t="s">
        <v>52</v>
      </c>
      <c r="L615" s="156" t="s">
        <v>637</v>
      </c>
      <c r="M615" s="22" t="s">
        <v>49</v>
      </c>
      <c r="N615" s="24">
        <f>IF((VLOOKUP(I615,'8Příloha_2_ceník_pravid_úklid'!$B$9:$I$30,8,0))=0,VLOOKUP(I615,'8Příloha_2_ceník_pravid_úklid'!$B$9:$K$30,10,0),VLOOKUP(I615,'8Příloha_2_ceník_pravid_úklid'!$B$9:$I$30,8,0))</f>
        <v>0</v>
      </c>
      <c r="O615" s="20">
        <v>1</v>
      </c>
      <c r="P615" s="20">
        <f>2/5</f>
        <v>0.4</v>
      </c>
      <c r="Q615" s="20">
        <v>0</v>
      </c>
      <c r="R615" s="20">
        <v>0</v>
      </c>
      <c r="S615" s="21">
        <f>NETWORKDAYS.INTL(DATE(2018,1,1),DATE(2018,12,31),1,{"2018/1/1";"2018/3/30";"2018/4/2";"2018/5/1";"2018/5/8";"2018/7/5";"2018/7/6";"2018/09/28";"2018/11/17";"2018/12/24";"2018/12/25";"2018/12/26"})</f>
        <v>250</v>
      </c>
      <c r="T615" s="21">
        <f t="shared" si="49"/>
        <v>115</v>
      </c>
      <c r="U615" s="21">
        <f t="shared" si="50"/>
        <v>365</v>
      </c>
      <c r="V615" s="311">
        <f t="shared" si="51"/>
        <v>100</v>
      </c>
      <c r="W615" s="140">
        <f t="shared" si="52"/>
        <v>0</v>
      </c>
      <c r="X615" s="141">
        <f t="shared" si="53"/>
        <v>0</v>
      </c>
      <c r="Y615" s="141">
        <v>0</v>
      </c>
    </row>
    <row r="616" spans="1:25" ht="15" x14ac:dyDescent="0.2">
      <c r="A616" s="235" t="s">
        <v>1463</v>
      </c>
      <c r="B616" s="396" t="s">
        <v>629</v>
      </c>
      <c r="C616" s="396"/>
      <c r="D616" s="535">
        <f>VLOOKUP(C616,'Seznam HS - nemaš'!$A$1:$B$96,2,FALSE)</f>
        <v>0</v>
      </c>
      <c r="E616" s="229" t="s">
        <v>1482</v>
      </c>
      <c r="F616" s="238" t="s">
        <v>398</v>
      </c>
      <c r="G616" s="238"/>
      <c r="H616" s="224">
        <f>+IF(ISBLANK(I616),0,VLOOKUP(I616,'8Příloha_2_ceník_pravid_úklid'!$B$9:$C$30,2,0))</f>
        <v>0</v>
      </c>
      <c r="I616" s="229"/>
      <c r="J616" s="233"/>
      <c r="K616" s="229"/>
      <c r="L616" s="242" t="s">
        <v>387</v>
      </c>
      <c r="M616" s="237"/>
      <c r="N616" s="229" t="s">
        <v>501</v>
      </c>
      <c r="O616" s="230">
        <v>0</v>
      </c>
      <c r="P616" s="230">
        <v>0</v>
      </c>
      <c r="Q616" s="230">
        <v>0</v>
      </c>
      <c r="R616" s="230">
        <v>0</v>
      </c>
      <c r="S616" s="231">
        <f>NETWORKDAYS.INTL(DATE(2018,1,1),DATE(2018,12,31),1,{"2018/1/1";"2018/3/30";"2018/4/2";"2018/5/1";"2018/5/8";"2018/7/5";"2018/7/6";"2018/09/28";"2018/11/17";"2018/12/24";"2018/12/25";"2018/12/26"})</f>
        <v>250</v>
      </c>
      <c r="T616" s="231">
        <f t="shared" si="49"/>
        <v>115</v>
      </c>
      <c r="U616" s="231">
        <f t="shared" si="50"/>
        <v>365</v>
      </c>
      <c r="V616" s="312">
        <f t="shared" si="51"/>
        <v>0</v>
      </c>
      <c r="W616" s="233">
        <f t="shared" si="52"/>
        <v>0</v>
      </c>
      <c r="X616" s="234">
        <f t="shared" si="53"/>
        <v>0</v>
      </c>
      <c r="Y616" s="234">
        <f t="shared" si="53"/>
        <v>0</v>
      </c>
    </row>
    <row r="617" spans="1:25" ht="15" x14ac:dyDescent="0.2">
      <c r="A617" s="276" t="s">
        <v>1463</v>
      </c>
      <c r="B617" s="391" t="s">
        <v>629</v>
      </c>
      <c r="C617" s="391" t="s">
        <v>229</v>
      </c>
      <c r="D617" s="139" t="str">
        <f>VLOOKUP(C617,'Seznam HS - nemaš'!$A$1:$B$96,2,FALSE)</f>
        <v>460600</v>
      </c>
      <c r="E617" s="19" t="s">
        <v>1483</v>
      </c>
      <c r="F617" s="154" t="s">
        <v>329</v>
      </c>
      <c r="G617" s="154" t="s">
        <v>1465</v>
      </c>
      <c r="H617" s="28">
        <f>+IF(ISBLANK(I617),0,VLOOKUP(I617,'8Příloha_2_ceník_pravid_úklid'!$B$9:$C$30,2,0))</f>
        <v>4</v>
      </c>
      <c r="I617" s="19" t="s">
        <v>9</v>
      </c>
      <c r="J617" s="155">
        <v>27.6</v>
      </c>
      <c r="K617" s="19" t="s">
        <v>52</v>
      </c>
      <c r="L617" s="156" t="s">
        <v>637</v>
      </c>
      <c r="M617" s="22" t="s">
        <v>49</v>
      </c>
      <c r="N617" s="24">
        <f>IF((VLOOKUP(I617,'8Příloha_2_ceník_pravid_úklid'!$B$9:$I$30,8,0))=0,VLOOKUP(I617,'8Příloha_2_ceník_pravid_úklid'!$B$9:$K$30,10,0),VLOOKUP(I617,'8Příloha_2_ceník_pravid_úklid'!$B$9:$I$30,8,0))</f>
        <v>0</v>
      </c>
      <c r="O617" s="20">
        <v>1</v>
      </c>
      <c r="P617" s="20">
        <f>2/5</f>
        <v>0.4</v>
      </c>
      <c r="Q617" s="20">
        <v>0</v>
      </c>
      <c r="R617" s="20">
        <v>0</v>
      </c>
      <c r="S617" s="21">
        <f>NETWORKDAYS.INTL(DATE(2018,1,1),DATE(2018,12,31),1,{"2018/1/1";"2018/3/30";"2018/4/2";"2018/5/1";"2018/5/8";"2018/7/5";"2018/7/6";"2018/09/28";"2018/11/17";"2018/12/24";"2018/12/25";"2018/12/26"})</f>
        <v>250</v>
      </c>
      <c r="T617" s="21">
        <f t="shared" si="49"/>
        <v>115</v>
      </c>
      <c r="U617" s="21">
        <f t="shared" si="50"/>
        <v>365</v>
      </c>
      <c r="V617" s="311">
        <f t="shared" si="51"/>
        <v>100</v>
      </c>
      <c r="W617" s="140">
        <f t="shared" si="52"/>
        <v>0</v>
      </c>
      <c r="X617" s="141">
        <f t="shared" si="53"/>
        <v>0</v>
      </c>
      <c r="Y617" s="141">
        <v>0</v>
      </c>
    </row>
    <row r="618" spans="1:25" ht="15" x14ac:dyDescent="0.2">
      <c r="A618" s="235" t="s">
        <v>1463</v>
      </c>
      <c r="B618" s="396" t="s">
        <v>629</v>
      </c>
      <c r="C618" s="396"/>
      <c r="D618" s="535">
        <f>VLOOKUP(C618,'Seznam HS - nemaš'!$A$1:$B$96,2,FALSE)</f>
        <v>0</v>
      </c>
      <c r="E618" s="229" t="s">
        <v>1484</v>
      </c>
      <c r="F618" s="238" t="s">
        <v>398</v>
      </c>
      <c r="G618" s="238"/>
      <c r="H618" s="224">
        <f>+IF(ISBLANK(I618),0,VLOOKUP(I618,'8Příloha_2_ceník_pravid_úklid'!$B$9:$C$30,2,0))</f>
        <v>0</v>
      </c>
      <c r="I618" s="229"/>
      <c r="J618" s="233"/>
      <c r="K618" s="229"/>
      <c r="L618" s="242" t="s">
        <v>387</v>
      </c>
      <c r="M618" s="237"/>
      <c r="N618" s="229" t="s">
        <v>501</v>
      </c>
      <c r="O618" s="230">
        <v>0</v>
      </c>
      <c r="P618" s="230">
        <v>0</v>
      </c>
      <c r="Q618" s="230">
        <v>0</v>
      </c>
      <c r="R618" s="230">
        <v>0</v>
      </c>
      <c r="S618" s="231">
        <f>NETWORKDAYS.INTL(DATE(2018,1,1),DATE(2018,12,31),1,{"2018/1/1";"2018/3/30";"2018/4/2";"2018/5/1";"2018/5/8";"2018/7/5";"2018/7/6";"2018/09/28";"2018/11/17";"2018/12/24";"2018/12/25";"2018/12/26"})</f>
        <v>250</v>
      </c>
      <c r="T618" s="231">
        <f t="shared" si="49"/>
        <v>115</v>
      </c>
      <c r="U618" s="231">
        <f t="shared" si="50"/>
        <v>365</v>
      </c>
      <c r="V618" s="312">
        <f t="shared" si="51"/>
        <v>0</v>
      </c>
      <c r="W618" s="233">
        <f t="shared" si="52"/>
        <v>0</v>
      </c>
      <c r="X618" s="234">
        <f t="shared" si="53"/>
        <v>0</v>
      </c>
      <c r="Y618" s="234">
        <f t="shared" si="53"/>
        <v>0</v>
      </c>
    </row>
    <row r="619" spans="1:25" ht="15" x14ac:dyDescent="0.2">
      <c r="A619" s="276" t="s">
        <v>1463</v>
      </c>
      <c r="B619" s="391" t="s">
        <v>629</v>
      </c>
      <c r="C619" s="391" t="s">
        <v>193</v>
      </c>
      <c r="D619" s="139" t="str">
        <f>VLOOKUP(C619,'Seznam HS - nemaš'!$A$1:$B$96,2,FALSE)</f>
        <v>432100</v>
      </c>
      <c r="E619" s="19" t="s">
        <v>1485</v>
      </c>
      <c r="F619" s="154" t="s">
        <v>329</v>
      </c>
      <c r="G619" s="154" t="s">
        <v>1465</v>
      </c>
      <c r="H619" s="28">
        <f>+IF(ISBLANK(I619),0,VLOOKUP(I619,'8Příloha_2_ceník_pravid_úklid'!$B$9:$C$30,2,0))</f>
        <v>4</v>
      </c>
      <c r="I619" s="19" t="s">
        <v>9</v>
      </c>
      <c r="J619" s="155">
        <v>27.6</v>
      </c>
      <c r="K619" s="19" t="s">
        <v>52</v>
      </c>
      <c r="L619" s="156" t="s">
        <v>637</v>
      </c>
      <c r="M619" s="22" t="s">
        <v>49</v>
      </c>
      <c r="N619" s="24">
        <f>IF((VLOOKUP(I619,'8Příloha_2_ceník_pravid_úklid'!$B$9:$I$30,8,0))=0,VLOOKUP(I619,'8Příloha_2_ceník_pravid_úklid'!$B$9:$K$30,10,0),VLOOKUP(I619,'8Příloha_2_ceník_pravid_úklid'!$B$9:$I$30,8,0))</f>
        <v>0</v>
      </c>
      <c r="O619" s="20">
        <v>1</v>
      </c>
      <c r="P619" s="20">
        <f>2/5</f>
        <v>0.4</v>
      </c>
      <c r="Q619" s="20">
        <v>0</v>
      </c>
      <c r="R619" s="20">
        <v>0</v>
      </c>
      <c r="S619" s="21">
        <f>NETWORKDAYS.INTL(DATE(2018,1,1),DATE(2018,12,31),1,{"2018/1/1";"2018/3/30";"2018/4/2";"2018/5/1";"2018/5/8";"2018/7/5";"2018/7/6";"2018/09/28";"2018/11/17";"2018/12/24";"2018/12/25";"2018/12/26"})</f>
        <v>250</v>
      </c>
      <c r="T619" s="21">
        <f t="shared" si="49"/>
        <v>115</v>
      </c>
      <c r="U619" s="21">
        <f t="shared" si="50"/>
        <v>365</v>
      </c>
      <c r="V619" s="311">
        <f t="shared" si="51"/>
        <v>100</v>
      </c>
      <c r="W619" s="140">
        <f t="shared" si="52"/>
        <v>0</v>
      </c>
      <c r="X619" s="141">
        <f t="shared" si="53"/>
        <v>0</v>
      </c>
      <c r="Y619" s="141">
        <v>0</v>
      </c>
    </row>
    <row r="620" spans="1:25" ht="15" x14ac:dyDescent="0.2">
      <c r="A620" s="235" t="s">
        <v>1463</v>
      </c>
      <c r="B620" s="396" t="s">
        <v>629</v>
      </c>
      <c r="C620" s="396"/>
      <c r="D620" s="535">
        <f>VLOOKUP(C620,'Seznam HS - nemaš'!$A$1:$B$96,2,FALSE)</f>
        <v>0</v>
      </c>
      <c r="E620" s="229" t="s">
        <v>1486</v>
      </c>
      <c r="F620" s="238" t="s">
        <v>398</v>
      </c>
      <c r="G620" s="238"/>
      <c r="H620" s="224">
        <f>+IF(ISBLANK(I620),0,VLOOKUP(I620,'8Příloha_2_ceník_pravid_úklid'!$B$9:$C$30,2,0))</f>
        <v>0</v>
      </c>
      <c r="I620" s="229"/>
      <c r="J620" s="233"/>
      <c r="K620" s="229"/>
      <c r="L620" s="242" t="s">
        <v>387</v>
      </c>
      <c r="M620" s="237"/>
      <c r="N620" s="229" t="s">
        <v>501</v>
      </c>
      <c r="O620" s="230">
        <v>0</v>
      </c>
      <c r="P620" s="230">
        <v>0</v>
      </c>
      <c r="Q620" s="230">
        <v>0</v>
      </c>
      <c r="R620" s="230">
        <v>0</v>
      </c>
      <c r="S620" s="231">
        <f>NETWORKDAYS.INTL(DATE(2018,1,1),DATE(2018,12,31),1,{"2018/1/1";"2018/3/30";"2018/4/2";"2018/5/1";"2018/5/8";"2018/7/5";"2018/7/6";"2018/09/28";"2018/11/17";"2018/12/24";"2018/12/25";"2018/12/26"})</f>
        <v>250</v>
      </c>
      <c r="T620" s="231">
        <f t="shared" si="49"/>
        <v>115</v>
      </c>
      <c r="U620" s="231">
        <f t="shared" si="50"/>
        <v>365</v>
      </c>
      <c r="V620" s="312">
        <f t="shared" si="51"/>
        <v>0</v>
      </c>
      <c r="W620" s="233">
        <f t="shared" si="52"/>
        <v>0</v>
      </c>
      <c r="X620" s="234">
        <f t="shared" si="53"/>
        <v>0</v>
      </c>
      <c r="Y620" s="234">
        <f t="shared" si="53"/>
        <v>0</v>
      </c>
    </row>
    <row r="621" spans="1:25" ht="15" x14ac:dyDescent="0.2">
      <c r="A621" s="276" t="s">
        <v>1463</v>
      </c>
      <c r="B621" s="391" t="s">
        <v>629</v>
      </c>
      <c r="C621" s="391" t="s">
        <v>193</v>
      </c>
      <c r="D621" s="139" t="str">
        <f>VLOOKUP(C621,'Seznam HS - nemaš'!$A$1:$B$96,2,FALSE)</f>
        <v>432100</v>
      </c>
      <c r="E621" s="19" t="s">
        <v>1487</v>
      </c>
      <c r="F621" s="154" t="s">
        <v>329</v>
      </c>
      <c r="G621" s="154" t="s">
        <v>1465</v>
      </c>
      <c r="H621" s="28">
        <f>+IF(ISBLANK(I621),0,VLOOKUP(I621,'8Příloha_2_ceník_pravid_úklid'!$B$9:$C$30,2,0))</f>
        <v>4</v>
      </c>
      <c r="I621" s="19" t="s">
        <v>9</v>
      </c>
      <c r="J621" s="155">
        <v>13.44</v>
      </c>
      <c r="K621" s="19" t="s">
        <v>52</v>
      </c>
      <c r="L621" s="156" t="s">
        <v>637</v>
      </c>
      <c r="M621" s="22" t="s">
        <v>49</v>
      </c>
      <c r="N621" s="24">
        <f>IF((VLOOKUP(I621,'8Příloha_2_ceník_pravid_úklid'!$B$9:$I$30,8,0))=0,VLOOKUP(I621,'8Příloha_2_ceník_pravid_úklid'!$B$9:$K$30,10,0),VLOOKUP(I621,'8Příloha_2_ceník_pravid_úklid'!$B$9:$I$30,8,0))</f>
        <v>0</v>
      </c>
      <c r="O621" s="20">
        <v>1</v>
      </c>
      <c r="P621" s="20">
        <f>2/5</f>
        <v>0.4</v>
      </c>
      <c r="Q621" s="20">
        <v>0</v>
      </c>
      <c r="R621" s="20">
        <v>0</v>
      </c>
      <c r="S621" s="21">
        <f>NETWORKDAYS.INTL(DATE(2018,1,1),DATE(2018,12,31),1,{"2018/1/1";"2018/3/30";"2018/4/2";"2018/5/1";"2018/5/8";"2018/7/5";"2018/7/6";"2018/09/28";"2018/11/17";"2018/12/24";"2018/12/25";"2018/12/26"})</f>
        <v>250</v>
      </c>
      <c r="T621" s="21">
        <f t="shared" si="49"/>
        <v>115</v>
      </c>
      <c r="U621" s="21">
        <f t="shared" si="50"/>
        <v>365</v>
      </c>
      <c r="V621" s="311">
        <f t="shared" si="51"/>
        <v>100</v>
      </c>
      <c r="W621" s="140">
        <f t="shared" si="52"/>
        <v>0</v>
      </c>
      <c r="X621" s="141">
        <f t="shared" si="53"/>
        <v>0</v>
      </c>
      <c r="Y621" s="141">
        <v>0</v>
      </c>
    </row>
    <row r="622" spans="1:25" ht="15" x14ac:dyDescent="0.2">
      <c r="A622" s="276" t="s">
        <v>1463</v>
      </c>
      <c r="B622" s="391" t="s">
        <v>629</v>
      </c>
      <c r="C622" s="391" t="s">
        <v>193</v>
      </c>
      <c r="D622" s="139" t="str">
        <f>VLOOKUP(C622,'Seznam HS - nemaš'!$A$1:$B$96,2,FALSE)</f>
        <v>432100</v>
      </c>
      <c r="E622" s="19" t="s">
        <v>1488</v>
      </c>
      <c r="F622" s="154" t="s">
        <v>329</v>
      </c>
      <c r="G622" s="154" t="s">
        <v>1465</v>
      </c>
      <c r="H622" s="28">
        <f>+IF(ISBLANK(I622),0,VLOOKUP(I622,'8Příloha_2_ceník_pravid_úklid'!$B$9:$C$30,2,0))</f>
        <v>4</v>
      </c>
      <c r="I622" s="19" t="s">
        <v>9</v>
      </c>
      <c r="J622" s="155">
        <v>13.44</v>
      </c>
      <c r="K622" s="19" t="s">
        <v>52</v>
      </c>
      <c r="L622" s="156" t="s">
        <v>637</v>
      </c>
      <c r="M622" s="22" t="s">
        <v>49</v>
      </c>
      <c r="N622" s="24">
        <f>IF((VLOOKUP(I622,'8Příloha_2_ceník_pravid_úklid'!$B$9:$I$30,8,0))=0,VLOOKUP(I622,'8Příloha_2_ceník_pravid_úklid'!$B$9:$K$30,10,0),VLOOKUP(I622,'8Příloha_2_ceník_pravid_úklid'!$B$9:$I$30,8,0))</f>
        <v>0</v>
      </c>
      <c r="O622" s="20">
        <v>1</v>
      </c>
      <c r="P622" s="20">
        <f>2/5</f>
        <v>0.4</v>
      </c>
      <c r="Q622" s="20">
        <v>0</v>
      </c>
      <c r="R622" s="20">
        <v>0</v>
      </c>
      <c r="S622" s="21">
        <f>NETWORKDAYS.INTL(DATE(2018,1,1),DATE(2018,12,31),1,{"2018/1/1";"2018/3/30";"2018/4/2";"2018/5/1";"2018/5/8";"2018/7/5";"2018/7/6";"2018/09/28";"2018/11/17";"2018/12/24";"2018/12/25";"2018/12/26"})</f>
        <v>250</v>
      </c>
      <c r="T622" s="21">
        <f t="shared" si="49"/>
        <v>115</v>
      </c>
      <c r="U622" s="21">
        <f t="shared" si="50"/>
        <v>365</v>
      </c>
      <c r="V622" s="311">
        <f t="shared" si="51"/>
        <v>100</v>
      </c>
      <c r="W622" s="140">
        <f t="shared" si="52"/>
        <v>0</v>
      </c>
      <c r="X622" s="141">
        <f t="shared" si="53"/>
        <v>0</v>
      </c>
      <c r="Y622" s="141">
        <v>0</v>
      </c>
    </row>
    <row r="623" spans="1:25" ht="15" x14ac:dyDescent="0.2">
      <c r="A623" s="276" t="s">
        <v>1463</v>
      </c>
      <c r="B623" s="391" t="s">
        <v>629</v>
      </c>
      <c r="C623" s="391" t="s">
        <v>229</v>
      </c>
      <c r="D623" s="139" t="str">
        <f>VLOOKUP(C623,'Seznam HS - nemaš'!$A$1:$B$96,2,FALSE)</f>
        <v>460600</v>
      </c>
      <c r="E623" s="19" t="s">
        <v>1489</v>
      </c>
      <c r="F623" s="154" t="s">
        <v>329</v>
      </c>
      <c r="G623" s="154" t="s">
        <v>1465</v>
      </c>
      <c r="H623" s="28">
        <f>+IF(ISBLANK(I623),0,VLOOKUP(I623,'8Příloha_2_ceník_pravid_úklid'!$B$9:$C$30,2,0))</f>
        <v>4</v>
      </c>
      <c r="I623" s="19" t="s">
        <v>9</v>
      </c>
      <c r="J623" s="155">
        <v>13.44</v>
      </c>
      <c r="K623" s="19" t="s">
        <v>52</v>
      </c>
      <c r="L623" s="156" t="s">
        <v>637</v>
      </c>
      <c r="M623" s="22" t="s">
        <v>49</v>
      </c>
      <c r="N623" s="24">
        <f>IF((VLOOKUP(I623,'8Příloha_2_ceník_pravid_úklid'!$B$9:$I$30,8,0))=0,VLOOKUP(I623,'8Příloha_2_ceník_pravid_úklid'!$B$9:$K$30,10,0),VLOOKUP(I623,'8Příloha_2_ceník_pravid_úklid'!$B$9:$I$30,8,0))</f>
        <v>0</v>
      </c>
      <c r="O623" s="20">
        <v>1</v>
      </c>
      <c r="P623" s="20">
        <f>2/5</f>
        <v>0.4</v>
      </c>
      <c r="Q623" s="20">
        <v>0</v>
      </c>
      <c r="R623" s="20">
        <v>0</v>
      </c>
      <c r="S623" s="21">
        <f>NETWORKDAYS.INTL(DATE(2018,1,1),DATE(2018,12,31),1,{"2018/1/1";"2018/3/30";"2018/4/2";"2018/5/1";"2018/5/8";"2018/7/5";"2018/7/6";"2018/09/28";"2018/11/17";"2018/12/24";"2018/12/25";"2018/12/26"})</f>
        <v>250</v>
      </c>
      <c r="T623" s="21">
        <f t="shared" si="49"/>
        <v>115</v>
      </c>
      <c r="U623" s="21">
        <f t="shared" si="50"/>
        <v>365</v>
      </c>
      <c r="V623" s="311">
        <f t="shared" si="51"/>
        <v>100</v>
      </c>
      <c r="W623" s="140">
        <f t="shared" si="52"/>
        <v>0</v>
      </c>
      <c r="X623" s="141">
        <f t="shared" si="53"/>
        <v>0</v>
      </c>
      <c r="Y623" s="141">
        <v>0</v>
      </c>
    </row>
    <row r="624" spans="1:25" ht="15" x14ac:dyDescent="0.2">
      <c r="A624" s="276" t="s">
        <v>1463</v>
      </c>
      <c r="B624" s="391" t="s">
        <v>629</v>
      </c>
      <c r="C624" s="391" t="s">
        <v>179</v>
      </c>
      <c r="D624" s="139" t="str">
        <f>VLOOKUP(C624,'Seznam HS - nemaš'!$A$1:$B$96,2,FALSE)</f>
        <v>417200</v>
      </c>
      <c r="E624" s="19" t="s">
        <v>1490</v>
      </c>
      <c r="F624" s="154" t="s">
        <v>329</v>
      </c>
      <c r="G624" s="154" t="s">
        <v>1465</v>
      </c>
      <c r="H624" s="28">
        <f>+IF(ISBLANK(I624),0,VLOOKUP(I624,'8Příloha_2_ceník_pravid_úklid'!$B$9:$C$30,2,0))</f>
        <v>4</v>
      </c>
      <c r="I624" s="19" t="s">
        <v>9</v>
      </c>
      <c r="J624" s="155">
        <v>27.6</v>
      </c>
      <c r="K624" s="19" t="s">
        <v>52</v>
      </c>
      <c r="L624" s="156" t="s">
        <v>637</v>
      </c>
      <c r="M624" s="22" t="s">
        <v>49</v>
      </c>
      <c r="N624" s="24">
        <f>IF((VLOOKUP(I624,'8Příloha_2_ceník_pravid_úklid'!$B$9:$I$30,8,0))=0,VLOOKUP(I624,'8Příloha_2_ceník_pravid_úklid'!$B$9:$K$30,10,0),VLOOKUP(I624,'8Příloha_2_ceník_pravid_úklid'!$B$9:$I$30,8,0))</f>
        <v>0</v>
      </c>
      <c r="O624" s="20">
        <v>1</v>
      </c>
      <c r="P624" s="20">
        <f>2/5</f>
        <v>0.4</v>
      </c>
      <c r="Q624" s="20">
        <v>0</v>
      </c>
      <c r="R624" s="20">
        <v>0</v>
      </c>
      <c r="S624" s="21">
        <f>NETWORKDAYS.INTL(DATE(2018,1,1),DATE(2018,12,31),1,{"2018/1/1";"2018/3/30";"2018/4/2";"2018/5/1";"2018/5/8";"2018/7/5";"2018/7/6";"2018/09/28";"2018/11/17";"2018/12/24";"2018/12/25";"2018/12/26"})</f>
        <v>250</v>
      </c>
      <c r="T624" s="21">
        <f t="shared" si="49"/>
        <v>115</v>
      </c>
      <c r="U624" s="21">
        <f t="shared" si="50"/>
        <v>365</v>
      </c>
      <c r="V624" s="311">
        <f t="shared" si="51"/>
        <v>100</v>
      </c>
      <c r="W624" s="140">
        <f t="shared" si="52"/>
        <v>0</v>
      </c>
      <c r="X624" s="141">
        <f t="shared" si="53"/>
        <v>0</v>
      </c>
      <c r="Y624" s="141">
        <v>0</v>
      </c>
    </row>
    <row r="625" spans="1:25" ht="15" x14ac:dyDescent="0.2">
      <c r="A625" s="235" t="s">
        <v>1463</v>
      </c>
      <c r="B625" s="396" t="s">
        <v>629</v>
      </c>
      <c r="C625" s="396"/>
      <c r="D625" s="535">
        <f>VLOOKUP(C625,'Seznam HS - nemaš'!$A$1:$B$96,2,FALSE)</f>
        <v>0</v>
      </c>
      <c r="E625" s="229" t="s">
        <v>1491</v>
      </c>
      <c r="F625" s="238" t="s">
        <v>398</v>
      </c>
      <c r="G625" s="238"/>
      <c r="H625" s="224">
        <f>+IF(ISBLANK(I625),0,VLOOKUP(I625,'8Příloha_2_ceník_pravid_úklid'!$B$9:$C$30,2,0))</f>
        <v>0</v>
      </c>
      <c r="I625" s="229"/>
      <c r="J625" s="233"/>
      <c r="K625" s="229"/>
      <c r="L625" s="242" t="s">
        <v>387</v>
      </c>
      <c r="M625" s="237"/>
      <c r="N625" s="229" t="s">
        <v>501</v>
      </c>
      <c r="O625" s="230">
        <v>0</v>
      </c>
      <c r="P625" s="230">
        <v>0</v>
      </c>
      <c r="Q625" s="230">
        <v>0</v>
      </c>
      <c r="R625" s="230">
        <v>0</v>
      </c>
      <c r="S625" s="231">
        <f>NETWORKDAYS.INTL(DATE(2018,1,1),DATE(2018,12,31),1,{"2018/1/1";"2018/3/30";"2018/4/2";"2018/5/1";"2018/5/8";"2018/7/5";"2018/7/6";"2018/09/28";"2018/11/17";"2018/12/24";"2018/12/25";"2018/12/26"})</f>
        <v>250</v>
      </c>
      <c r="T625" s="231">
        <f t="shared" si="49"/>
        <v>115</v>
      </c>
      <c r="U625" s="231">
        <f t="shared" si="50"/>
        <v>365</v>
      </c>
      <c r="V625" s="312">
        <f t="shared" si="51"/>
        <v>0</v>
      </c>
      <c r="W625" s="233">
        <f t="shared" si="52"/>
        <v>0</v>
      </c>
      <c r="X625" s="234">
        <f t="shared" si="53"/>
        <v>0</v>
      </c>
      <c r="Y625" s="234">
        <f t="shared" si="53"/>
        <v>0</v>
      </c>
    </row>
    <row r="626" spans="1:25" ht="15" x14ac:dyDescent="0.2">
      <c r="A626" s="276" t="s">
        <v>1463</v>
      </c>
      <c r="B626" s="391" t="s">
        <v>629</v>
      </c>
      <c r="C626" s="391" t="s">
        <v>181</v>
      </c>
      <c r="D626" s="139" t="str">
        <f>VLOOKUP(C626,'Seznam HS - nemaš'!$A$1:$B$96,2,FALSE)</f>
        <v>417400</v>
      </c>
      <c r="E626" s="19" t="s">
        <v>1492</v>
      </c>
      <c r="F626" s="154" t="s">
        <v>329</v>
      </c>
      <c r="G626" s="154" t="s">
        <v>1465</v>
      </c>
      <c r="H626" s="28">
        <f>+IF(ISBLANK(I626),0,VLOOKUP(I626,'8Příloha_2_ceník_pravid_úklid'!$B$9:$C$30,2,0))</f>
        <v>4</v>
      </c>
      <c r="I626" s="19" t="s">
        <v>9</v>
      </c>
      <c r="J626" s="155">
        <v>13.44</v>
      </c>
      <c r="K626" s="19" t="s">
        <v>52</v>
      </c>
      <c r="L626" s="156" t="s">
        <v>637</v>
      </c>
      <c r="M626" s="22" t="s">
        <v>49</v>
      </c>
      <c r="N626" s="24">
        <f>IF((VLOOKUP(I626,'8Příloha_2_ceník_pravid_úklid'!$B$9:$I$30,8,0))=0,VLOOKUP(I626,'8Příloha_2_ceník_pravid_úklid'!$B$9:$K$30,10,0),VLOOKUP(I626,'8Příloha_2_ceník_pravid_úklid'!$B$9:$I$30,8,0))</f>
        <v>0</v>
      </c>
      <c r="O626" s="20">
        <v>1</v>
      </c>
      <c r="P626" s="20">
        <f>2/5</f>
        <v>0.4</v>
      </c>
      <c r="Q626" s="20">
        <v>0</v>
      </c>
      <c r="R626" s="20">
        <v>0</v>
      </c>
      <c r="S626" s="21">
        <f>NETWORKDAYS.INTL(DATE(2018,1,1),DATE(2018,12,31),1,{"2018/1/1";"2018/3/30";"2018/4/2";"2018/5/1";"2018/5/8";"2018/7/5";"2018/7/6";"2018/09/28";"2018/11/17";"2018/12/24";"2018/12/25";"2018/12/26"})</f>
        <v>250</v>
      </c>
      <c r="T626" s="21">
        <f t="shared" si="49"/>
        <v>115</v>
      </c>
      <c r="U626" s="21">
        <f t="shared" si="50"/>
        <v>365</v>
      </c>
      <c r="V626" s="311">
        <f t="shared" si="51"/>
        <v>100</v>
      </c>
      <c r="W626" s="140">
        <f t="shared" si="52"/>
        <v>0</v>
      </c>
      <c r="X626" s="141">
        <f t="shared" si="53"/>
        <v>0</v>
      </c>
      <c r="Y626" s="141">
        <v>0</v>
      </c>
    </row>
    <row r="627" spans="1:25" ht="15" x14ac:dyDescent="0.2">
      <c r="A627" s="402" t="s">
        <v>767</v>
      </c>
      <c r="B627" s="403" t="s">
        <v>629</v>
      </c>
      <c r="C627" s="403"/>
      <c r="D627" s="139">
        <f>VLOOKUP(C627,'Seznam HS - nemaš'!$A$1:$B$96,2,FALSE)</f>
        <v>0</v>
      </c>
      <c r="E627" s="404" t="s">
        <v>1493</v>
      </c>
      <c r="F627" s="405" t="s">
        <v>1494</v>
      </c>
      <c r="G627" s="405" t="s">
        <v>1495</v>
      </c>
      <c r="H627" s="28">
        <f>+IF(ISBLANK(I627),0,VLOOKUP(I627,'8Příloha_2_ceník_pravid_úklid'!$B$9:$C$30,2,0))</f>
        <v>4</v>
      </c>
      <c r="I627" s="404" t="s">
        <v>9</v>
      </c>
      <c r="J627" s="406">
        <v>29.52</v>
      </c>
      <c r="K627" s="404" t="s">
        <v>52</v>
      </c>
      <c r="L627" s="407" t="s">
        <v>487</v>
      </c>
      <c r="M627" s="407" t="s">
        <v>49</v>
      </c>
      <c r="N627" s="24">
        <f>IF((VLOOKUP(I627,'8Příloha_2_ceník_pravid_úklid'!$B$9:$I$30,8,0))=0,VLOOKUP(I627,'8Příloha_2_ceník_pravid_úklid'!$B$9:$K$30,10,0),VLOOKUP(I627,'8Příloha_2_ceník_pravid_úklid'!$B$9:$I$30,8,0))</f>
        <v>0</v>
      </c>
      <c r="O627" s="20">
        <v>1</v>
      </c>
      <c r="P627" s="20">
        <f>1/5</f>
        <v>0.2</v>
      </c>
      <c r="Q627" s="20">
        <v>0</v>
      </c>
      <c r="R627" s="20">
        <v>0</v>
      </c>
      <c r="S627" s="21">
        <f>NETWORKDAYS.INTL(DATE(2018,1,1),DATE(2018,12,31),1,{"2018/1/1";"2018/3/30";"2018/4/2";"2018/5/1";"2018/5/8";"2018/7/5";"2018/7/6";"2018/09/28";"2018/11/17";"2018/12/24";"2018/12/25";"2018/12/26"})</f>
        <v>250</v>
      </c>
      <c r="T627" s="21">
        <f t="shared" si="49"/>
        <v>115</v>
      </c>
      <c r="U627" s="21">
        <f t="shared" si="50"/>
        <v>365</v>
      </c>
      <c r="V627" s="311">
        <f t="shared" si="51"/>
        <v>50</v>
      </c>
      <c r="W627" s="140">
        <f t="shared" si="52"/>
        <v>0</v>
      </c>
      <c r="X627" s="141">
        <f t="shared" si="53"/>
        <v>0</v>
      </c>
      <c r="Y627" s="141">
        <v>0</v>
      </c>
    </row>
    <row r="628" spans="1:25" ht="15" x14ac:dyDescent="0.2">
      <c r="A628" s="402" t="s">
        <v>767</v>
      </c>
      <c r="B628" s="403" t="s">
        <v>629</v>
      </c>
      <c r="C628" s="403"/>
      <c r="D628" s="139">
        <f>VLOOKUP(C628,'Seznam HS - nemaš'!$A$1:$B$96,2,FALSE)</f>
        <v>0</v>
      </c>
      <c r="E628" s="404" t="s">
        <v>1496</v>
      </c>
      <c r="F628" s="405" t="s">
        <v>1497</v>
      </c>
      <c r="G628" s="405"/>
      <c r="H628" s="28">
        <f>+IF(ISBLANK(I628),0,VLOOKUP(I628,'8Příloha_2_ceník_pravid_úklid'!$B$9:$C$30,2,0))</f>
        <v>4</v>
      </c>
      <c r="I628" s="404" t="s">
        <v>9</v>
      </c>
      <c r="J628" s="406">
        <v>69.05</v>
      </c>
      <c r="K628" s="404" t="s">
        <v>52</v>
      </c>
      <c r="L628" s="407" t="s">
        <v>487</v>
      </c>
      <c r="M628" s="407" t="s">
        <v>49</v>
      </c>
      <c r="N628" s="24">
        <f>IF((VLOOKUP(I628,'8Příloha_2_ceník_pravid_úklid'!$B$9:$I$30,8,0))=0,VLOOKUP(I628,'8Příloha_2_ceník_pravid_úklid'!$B$9:$K$30,10,0),VLOOKUP(I628,'8Příloha_2_ceník_pravid_úklid'!$B$9:$I$30,8,0))</f>
        <v>0</v>
      </c>
      <c r="O628" s="20">
        <v>1</v>
      </c>
      <c r="P628" s="20">
        <f>1/5</f>
        <v>0.2</v>
      </c>
      <c r="Q628" s="20">
        <v>0</v>
      </c>
      <c r="R628" s="20">
        <v>0</v>
      </c>
      <c r="S628" s="21">
        <f>NETWORKDAYS.INTL(DATE(2018,1,1),DATE(2018,12,31),1,{"2018/1/1";"2018/3/30";"2018/4/2";"2018/5/1";"2018/5/8";"2018/7/5";"2018/7/6";"2018/09/28";"2018/11/17";"2018/12/24";"2018/12/25";"2018/12/26"})</f>
        <v>250</v>
      </c>
      <c r="T628" s="21">
        <f t="shared" si="49"/>
        <v>115</v>
      </c>
      <c r="U628" s="21">
        <f t="shared" si="50"/>
        <v>365</v>
      </c>
      <c r="V628" s="311">
        <f t="shared" si="51"/>
        <v>50</v>
      </c>
      <c r="W628" s="140">
        <f t="shared" si="52"/>
        <v>0</v>
      </c>
      <c r="X628" s="141">
        <f t="shared" si="53"/>
        <v>0</v>
      </c>
      <c r="Y628" s="141">
        <v>0</v>
      </c>
    </row>
    <row r="629" spans="1:25" ht="15" x14ac:dyDescent="0.2">
      <c r="A629" s="402" t="s">
        <v>767</v>
      </c>
      <c r="B629" s="403" t="s">
        <v>629</v>
      </c>
      <c r="C629" s="403"/>
      <c r="D629" s="139">
        <f>VLOOKUP(C629,'Seznam HS - nemaš'!$A$1:$B$96,2,FALSE)</f>
        <v>0</v>
      </c>
      <c r="E629" s="404" t="s">
        <v>1498</v>
      </c>
      <c r="F629" s="405" t="s">
        <v>53</v>
      </c>
      <c r="G629" s="405"/>
      <c r="H629" s="28">
        <f>+IF(ISBLANK(I629),0,VLOOKUP(I629,'8Příloha_2_ceník_pravid_úklid'!$B$9:$C$30,2,0))</f>
        <v>6</v>
      </c>
      <c r="I629" s="404" t="s">
        <v>1</v>
      </c>
      <c r="J629" s="406">
        <v>91.21</v>
      </c>
      <c r="K629" s="404" t="s">
        <v>52</v>
      </c>
      <c r="L629" s="408" t="s">
        <v>21</v>
      </c>
      <c r="M629" s="407" t="s">
        <v>49</v>
      </c>
      <c r="N629" s="24">
        <f>IF((VLOOKUP(I629,'8Příloha_2_ceník_pravid_úklid'!$B$9:$I$30,8,0))=0,VLOOKUP(I629,'8Příloha_2_ceník_pravid_úklid'!$B$9:$K$30,10,0),VLOOKUP(I629,'8Příloha_2_ceník_pravid_úklid'!$B$9:$I$30,8,0))</f>
        <v>0</v>
      </c>
      <c r="O629" s="20">
        <v>1</v>
      </c>
      <c r="P629" s="20">
        <v>1</v>
      </c>
      <c r="Q629" s="20">
        <v>0</v>
      </c>
      <c r="R629" s="20">
        <v>0</v>
      </c>
      <c r="S629" s="21">
        <f>NETWORKDAYS.INTL(DATE(2018,1,1),DATE(2018,12,31),1,{"2018/1/1";"2018/3/30";"2018/4/2";"2018/5/1";"2018/5/8";"2018/7/5";"2018/7/6";"2018/09/28";"2018/11/17";"2018/12/24";"2018/12/25";"2018/12/26"})</f>
        <v>250</v>
      </c>
      <c r="T629" s="21">
        <f t="shared" si="49"/>
        <v>115</v>
      </c>
      <c r="U629" s="21">
        <f t="shared" si="50"/>
        <v>365</v>
      </c>
      <c r="V629" s="311">
        <f t="shared" si="51"/>
        <v>250</v>
      </c>
      <c r="W629" s="140">
        <f t="shared" si="52"/>
        <v>0</v>
      </c>
      <c r="X629" s="141">
        <f t="shared" si="53"/>
        <v>0</v>
      </c>
      <c r="Y629" s="141">
        <v>0</v>
      </c>
    </row>
    <row r="630" spans="1:25" ht="15" x14ac:dyDescent="0.2">
      <c r="A630" s="402" t="s">
        <v>767</v>
      </c>
      <c r="B630" s="403" t="s">
        <v>629</v>
      </c>
      <c r="C630" s="403"/>
      <c r="D630" s="139">
        <f>VLOOKUP(C630,'Seznam HS - nemaš'!$A$1:$B$96,2,FALSE)</f>
        <v>0</v>
      </c>
      <c r="E630" s="404" t="s">
        <v>1499</v>
      </c>
      <c r="F630" s="405" t="s">
        <v>437</v>
      </c>
      <c r="G630" s="405" t="s">
        <v>540</v>
      </c>
      <c r="H630" s="28">
        <f>+IF(ISBLANK(I630),0,VLOOKUP(I630,'8Příloha_2_ceník_pravid_úklid'!$B$9:$C$30,2,0))</f>
        <v>7</v>
      </c>
      <c r="I630" s="404" t="s">
        <v>14</v>
      </c>
      <c r="J630" s="406">
        <v>3.89</v>
      </c>
      <c r="K630" s="404" t="s">
        <v>50</v>
      </c>
      <c r="L630" s="408" t="s">
        <v>21</v>
      </c>
      <c r="M630" s="407" t="s">
        <v>49</v>
      </c>
      <c r="N630" s="24">
        <f>IF((VLOOKUP(I630,'8Příloha_2_ceník_pravid_úklid'!$B$9:$I$30,8,0))=0,VLOOKUP(I630,'8Příloha_2_ceník_pravid_úklid'!$B$9:$K$30,10,0),VLOOKUP(I630,'8Příloha_2_ceník_pravid_úklid'!$B$9:$I$30,8,0))</f>
        <v>0</v>
      </c>
      <c r="O630" s="20">
        <v>1</v>
      </c>
      <c r="P630" s="20">
        <v>1</v>
      </c>
      <c r="Q630" s="20">
        <v>0</v>
      </c>
      <c r="R630" s="20">
        <v>0</v>
      </c>
      <c r="S630" s="21">
        <f>NETWORKDAYS.INTL(DATE(2018,1,1),DATE(2018,12,31),1,{"2018/1/1";"2018/3/30";"2018/4/2";"2018/5/1";"2018/5/8";"2018/7/5";"2018/7/6";"2018/09/28";"2018/11/17";"2018/12/24";"2018/12/25";"2018/12/26"})</f>
        <v>250</v>
      </c>
      <c r="T630" s="21">
        <f t="shared" si="49"/>
        <v>115</v>
      </c>
      <c r="U630" s="21">
        <f t="shared" si="50"/>
        <v>365</v>
      </c>
      <c r="V630" s="311">
        <f t="shared" si="51"/>
        <v>250</v>
      </c>
      <c r="W630" s="140">
        <f t="shared" si="52"/>
        <v>0</v>
      </c>
      <c r="X630" s="141">
        <f t="shared" si="53"/>
        <v>0</v>
      </c>
      <c r="Y630" s="141">
        <v>0</v>
      </c>
    </row>
    <row r="631" spans="1:25" ht="15" x14ac:dyDescent="0.2">
      <c r="A631" s="402" t="s">
        <v>767</v>
      </c>
      <c r="B631" s="403" t="s">
        <v>629</v>
      </c>
      <c r="C631" s="403"/>
      <c r="D631" s="139">
        <f>VLOOKUP(C631,'Seznam HS - nemaš'!$A$1:$B$96,2,FALSE)</f>
        <v>0</v>
      </c>
      <c r="E631" s="404" t="s">
        <v>1500</v>
      </c>
      <c r="F631" s="405" t="s">
        <v>437</v>
      </c>
      <c r="G631" s="405" t="s">
        <v>539</v>
      </c>
      <c r="H631" s="28">
        <f>+IF(ISBLANK(I631),0,VLOOKUP(I631,'8Příloha_2_ceník_pravid_úklid'!$B$9:$C$30,2,0))</f>
        <v>7</v>
      </c>
      <c r="I631" s="404" t="s">
        <v>14</v>
      </c>
      <c r="J631" s="406">
        <v>3.89</v>
      </c>
      <c r="K631" s="404" t="s">
        <v>50</v>
      </c>
      <c r="L631" s="408" t="s">
        <v>21</v>
      </c>
      <c r="M631" s="407" t="s">
        <v>49</v>
      </c>
      <c r="N631" s="24">
        <f>IF((VLOOKUP(I631,'8Příloha_2_ceník_pravid_úklid'!$B$9:$I$30,8,0))=0,VLOOKUP(I631,'8Příloha_2_ceník_pravid_úklid'!$B$9:$K$30,10,0),VLOOKUP(I631,'8Příloha_2_ceník_pravid_úklid'!$B$9:$I$30,8,0))</f>
        <v>0</v>
      </c>
      <c r="O631" s="20">
        <v>1</v>
      </c>
      <c r="P631" s="20">
        <v>1</v>
      </c>
      <c r="Q631" s="20">
        <v>0</v>
      </c>
      <c r="R631" s="20">
        <v>0</v>
      </c>
      <c r="S631" s="21">
        <f>NETWORKDAYS.INTL(DATE(2018,1,1),DATE(2018,12,31),1,{"2018/1/1";"2018/3/30";"2018/4/2";"2018/5/1";"2018/5/8";"2018/7/5";"2018/7/6";"2018/09/28";"2018/11/17";"2018/12/24";"2018/12/25";"2018/12/26"})</f>
        <v>250</v>
      </c>
      <c r="T631" s="21">
        <f t="shared" si="49"/>
        <v>115</v>
      </c>
      <c r="U631" s="21">
        <f t="shared" si="50"/>
        <v>365</v>
      </c>
      <c r="V631" s="311">
        <f t="shared" si="51"/>
        <v>250</v>
      </c>
      <c r="W631" s="140">
        <f t="shared" si="52"/>
        <v>0</v>
      </c>
      <c r="X631" s="141">
        <f t="shared" si="53"/>
        <v>0</v>
      </c>
      <c r="Y631" s="141">
        <v>0</v>
      </c>
    </row>
    <row r="632" spans="1:25" ht="15" x14ac:dyDescent="0.2">
      <c r="A632" s="402" t="s">
        <v>767</v>
      </c>
      <c r="B632" s="403" t="s">
        <v>629</v>
      </c>
      <c r="C632" s="403"/>
      <c r="D632" s="139">
        <f>VLOOKUP(C632,'Seznam HS - nemaš'!$A$1:$B$96,2,FALSE)</f>
        <v>0</v>
      </c>
      <c r="E632" s="404" t="s">
        <v>1501</v>
      </c>
      <c r="F632" s="405" t="s">
        <v>1090</v>
      </c>
      <c r="G632" s="405" t="s">
        <v>540</v>
      </c>
      <c r="H632" s="28">
        <f>+IF(ISBLANK(I632),0,VLOOKUP(I632,'8Příloha_2_ceník_pravid_úklid'!$B$9:$C$30,2,0))</f>
        <v>7</v>
      </c>
      <c r="I632" s="404" t="s">
        <v>14</v>
      </c>
      <c r="J632" s="406">
        <v>4.16</v>
      </c>
      <c r="K632" s="404" t="s">
        <v>50</v>
      </c>
      <c r="L632" s="408" t="s">
        <v>21</v>
      </c>
      <c r="M632" s="407" t="s">
        <v>49</v>
      </c>
      <c r="N632" s="24">
        <f>IF((VLOOKUP(I632,'8Příloha_2_ceník_pravid_úklid'!$B$9:$I$30,8,0))=0,VLOOKUP(I632,'8Příloha_2_ceník_pravid_úklid'!$B$9:$K$30,10,0),VLOOKUP(I632,'8Příloha_2_ceník_pravid_úklid'!$B$9:$I$30,8,0))</f>
        <v>0</v>
      </c>
      <c r="O632" s="20">
        <v>1</v>
      </c>
      <c r="P632" s="20">
        <v>1</v>
      </c>
      <c r="Q632" s="20">
        <v>0</v>
      </c>
      <c r="R632" s="20">
        <v>0</v>
      </c>
      <c r="S632" s="21">
        <f>NETWORKDAYS.INTL(DATE(2018,1,1),DATE(2018,12,31),1,{"2018/1/1";"2018/3/30";"2018/4/2";"2018/5/1";"2018/5/8";"2018/7/5";"2018/7/6";"2018/09/28";"2018/11/17";"2018/12/24";"2018/12/25";"2018/12/26"})</f>
        <v>250</v>
      </c>
      <c r="T632" s="21">
        <f t="shared" si="49"/>
        <v>115</v>
      </c>
      <c r="U632" s="21">
        <f t="shared" si="50"/>
        <v>365</v>
      </c>
      <c r="V632" s="311">
        <f t="shared" si="51"/>
        <v>250</v>
      </c>
      <c r="W632" s="140">
        <f t="shared" si="52"/>
        <v>0</v>
      </c>
      <c r="X632" s="141">
        <f t="shared" si="53"/>
        <v>0</v>
      </c>
      <c r="Y632" s="141">
        <v>0</v>
      </c>
    </row>
    <row r="633" spans="1:25" ht="15" x14ac:dyDescent="0.2">
      <c r="A633" s="402" t="s">
        <v>767</v>
      </c>
      <c r="B633" s="403" t="s">
        <v>629</v>
      </c>
      <c r="C633" s="403"/>
      <c r="D633" s="139">
        <f>VLOOKUP(C633,'Seznam HS - nemaš'!$A$1:$B$96,2,FALSE)</f>
        <v>0</v>
      </c>
      <c r="E633" s="404" t="s">
        <v>1502</v>
      </c>
      <c r="F633" s="405" t="s">
        <v>1090</v>
      </c>
      <c r="G633" s="405" t="s">
        <v>539</v>
      </c>
      <c r="H633" s="28">
        <f>+IF(ISBLANK(I633),0,VLOOKUP(I633,'8Příloha_2_ceník_pravid_úklid'!$B$9:$C$30,2,0))</f>
        <v>7</v>
      </c>
      <c r="I633" s="404" t="s">
        <v>14</v>
      </c>
      <c r="J633" s="406">
        <v>3.76</v>
      </c>
      <c r="K633" s="404" t="s">
        <v>50</v>
      </c>
      <c r="L633" s="408" t="s">
        <v>21</v>
      </c>
      <c r="M633" s="407" t="s">
        <v>49</v>
      </c>
      <c r="N633" s="24">
        <f>IF((VLOOKUP(I633,'8Příloha_2_ceník_pravid_úklid'!$B$9:$I$30,8,0))=0,VLOOKUP(I633,'8Příloha_2_ceník_pravid_úklid'!$B$9:$K$30,10,0),VLOOKUP(I633,'8Příloha_2_ceník_pravid_úklid'!$B$9:$I$30,8,0))</f>
        <v>0</v>
      </c>
      <c r="O633" s="20">
        <v>1</v>
      </c>
      <c r="P633" s="20">
        <v>1</v>
      </c>
      <c r="Q633" s="20">
        <v>0</v>
      </c>
      <c r="R633" s="20">
        <v>0</v>
      </c>
      <c r="S633" s="21">
        <f>NETWORKDAYS.INTL(DATE(2018,1,1),DATE(2018,12,31),1,{"2018/1/1";"2018/3/30";"2018/4/2";"2018/5/1";"2018/5/8";"2018/7/5";"2018/7/6";"2018/09/28";"2018/11/17";"2018/12/24";"2018/12/25";"2018/12/26"})</f>
        <v>250</v>
      </c>
      <c r="T633" s="21">
        <f t="shared" si="49"/>
        <v>115</v>
      </c>
      <c r="U633" s="21">
        <f t="shared" si="50"/>
        <v>365</v>
      </c>
      <c r="V633" s="311">
        <f t="shared" si="51"/>
        <v>250</v>
      </c>
      <c r="W633" s="140">
        <f t="shared" si="52"/>
        <v>0</v>
      </c>
      <c r="X633" s="141">
        <f t="shared" si="53"/>
        <v>0</v>
      </c>
      <c r="Y633" s="141">
        <v>0</v>
      </c>
    </row>
    <row r="634" spans="1:25" ht="15" x14ac:dyDescent="0.2">
      <c r="A634" s="402" t="s">
        <v>767</v>
      </c>
      <c r="B634" s="403" t="s">
        <v>629</v>
      </c>
      <c r="C634" s="403"/>
      <c r="D634" s="139">
        <f>VLOOKUP(C634,'Seznam HS - nemaš'!$A$1:$B$96,2,FALSE)</f>
        <v>0</v>
      </c>
      <c r="E634" s="404" t="s">
        <v>1503</v>
      </c>
      <c r="F634" s="405" t="s">
        <v>893</v>
      </c>
      <c r="G634" s="405"/>
      <c r="H634" s="28">
        <f>+IF(ISBLANK(I634),0,VLOOKUP(I634,'8Příloha_2_ceník_pravid_úklid'!$B$9:$C$30,2,0))</f>
        <v>7</v>
      </c>
      <c r="I634" s="404" t="s">
        <v>14</v>
      </c>
      <c r="J634" s="406">
        <v>1.42</v>
      </c>
      <c r="K634" s="404" t="s">
        <v>50</v>
      </c>
      <c r="L634" s="408" t="s">
        <v>21</v>
      </c>
      <c r="M634" s="407" t="s">
        <v>49</v>
      </c>
      <c r="N634" s="24">
        <f>IF((VLOOKUP(I634,'8Příloha_2_ceník_pravid_úklid'!$B$9:$I$30,8,0))=0,VLOOKUP(I634,'8Příloha_2_ceník_pravid_úklid'!$B$9:$K$30,10,0),VLOOKUP(I634,'8Příloha_2_ceník_pravid_úklid'!$B$9:$I$30,8,0))</f>
        <v>0</v>
      </c>
      <c r="O634" s="20">
        <v>1</v>
      </c>
      <c r="P634" s="20">
        <v>1</v>
      </c>
      <c r="Q634" s="20">
        <v>0</v>
      </c>
      <c r="R634" s="20">
        <v>0</v>
      </c>
      <c r="S634" s="21">
        <f>NETWORKDAYS.INTL(DATE(2018,1,1),DATE(2018,12,31),1,{"2018/1/1";"2018/3/30";"2018/4/2";"2018/5/1";"2018/5/8";"2018/7/5";"2018/7/6";"2018/09/28";"2018/11/17";"2018/12/24";"2018/12/25";"2018/12/26"})</f>
        <v>250</v>
      </c>
      <c r="T634" s="21">
        <f t="shared" si="49"/>
        <v>115</v>
      </c>
      <c r="U634" s="21">
        <f t="shared" si="50"/>
        <v>365</v>
      </c>
      <c r="V634" s="311">
        <f t="shared" si="51"/>
        <v>250</v>
      </c>
      <c r="W634" s="140">
        <f t="shared" si="52"/>
        <v>0</v>
      </c>
      <c r="X634" s="141">
        <f t="shared" si="53"/>
        <v>0</v>
      </c>
      <c r="Y634" s="141">
        <v>0</v>
      </c>
    </row>
    <row r="635" spans="1:25" ht="15" x14ac:dyDescent="0.2">
      <c r="A635" s="235" t="s">
        <v>1467</v>
      </c>
      <c r="B635" s="396" t="s">
        <v>629</v>
      </c>
      <c r="C635" s="396" t="s">
        <v>231</v>
      </c>
      <c r="D635" s="535" t="e">
        <f>VLOOKUP(C635,'Seznam HS - nemaš'!$A$1:$B$96,2,FALSE)</f>
        <v>#N/A</v>
      </c>
      <c r="E635" s="229" t="s">
        <v>1504</v>
      </c>
      <c r="F635" s="238" t="s">
        <v>389</v>
      </c>
      <c r="G635" s="238"/>
      <c r="H635" s="224">
        <f>+IF(ISBLANK(I635),0,VLOOKUP(I635,'8Příloha_2_ceník_pravid_úklid'!$B$9:$C$30,2,0))</f>
        <v>17</v>
      </c>
      <c r="I635" s="229" t="s">
        <v>13</v>
      </c>
      <c r="J635" s="233">
        <v>12.21</v>
      </c>
      <c r="K635" s="229" t="s">
        <v>51</v>
      </c>
      <c r="L635" s="242" t="s">
        <v>387</v>
      </c>
      <c r="M635" s="237" t="s">
        <v>49</v>
      </c>
      <c r="N635" s="229" t="s">
        <v>501</v>
      </c>
      <c r="O635" s="230">
        <v>0</v>
      </c>
      <c r="P635" s="230">
        <v>0</v>
      </c>
      <c r="Q635" s="230">
        <v>0</v>
      </c>
      <c r="R635" s="230">
        <v>0</v>
      </c>
      <c r="S635" s="231">
        <f>NETWORKDAYS.INTL(DATE(2018,1,1),DATE(2018,12,31),1,{"2018/1/1";"2018/3/30";"2018/4/2";"2018/5/1";"2018/5/8";"2018/7/5";"2018/7/6";"2018/09/28";"2018/11/17";"2018/12/24";"2018/12/25";"2018/12/26"})</f>
        <v>250</v>
      </c>
      <c r="T635" s="231">
        <f t="shared" si="49"/>
        <v>115</v>
      </c>
      <c r="U635" s="231">
        <f t="shared" si="50"/>
        <v>365</v>
      </c>
      <c r="V635" s="312">
        <f t="shared" si="51"/>
        <v>0</v>
      </c>
      <c r="W635" s="233">
        <f t="shared" si="52"/>
        <v>0</v>
      </c>
      <c r="X635" s="234">
        <f t="shared" si="53"/>
        <v>0</v>
      </c>
      <c r="Y635" s="234">
        <f t="shared" si="53"/>
        <v>0</v>
      </c>
    </row>
    <row r="636" spans="1:25" ht="15" x14ac:dyDescent="0.2">
      <c r="A636" s="235" t="s">
        <v>1467</v>
      </c>
      <c r="B636" s="396" t="s">
        <v>629</v>
      </c>
      <c r="C636" s="396"/>
      <c r="D636" s="535">
        <f>VLOOKUP(C636,'Seznam HS - nemaš'!$A$1:$B$96,2,FALSE)</f>
        <v>0</v>
      </c>
      <c r="E636" s="229" t="s">
        <v>1505</v>
      </c>
      <c r="F636" s="238" t="s">
        <v>389</v>
      </c>
      <c r="G636" s="238" t="s">
        <v>1506</v>
      </c>
      <c r="H636" s="224">
        <f>+IF(ISBLANK(I636),0,VLOOKUP(I636,'8Příloha_2_ceník_pravid_úklid'!$B$9:$C$30,2,0))</f>
        <v>17</v>
      </c>
      <c r="I636" s="229" t="s">
        <v>13</v>
      </c>
      <c r="J636" s="233">
        <v>9.94</v>
      </c>
      <c r="K636" s="229" t="s">
        <v>51</v>
      </c>
      <c r="L636" s="242" t="s">
        <v>387</v>
      </c>
      <c r="M636" s="237" t="s">
        <v>49</v>
      </c>
      <c r="N636" s="229" t="s">
        <v>501</v>
      </c>
      <c r="O636" s="230">
        <v>0</v>
      </c>
      <c r="P636" s="230">
        <v>0</v>
      </c>
      <c r="Q636" s="230">
        <v>0</v>
      </c>
      <c r="R636" s="230">
        <v>0</v>
      </c>
      <c r="S636" s="231">
        <f>NETWORKDAYS.INTL(DATE(2018,1,1),DATE(2018,12,31),1,{"2018/1/1";"2018/3/30";"2018/4/2";"2018/5/1";"2018/5/8";"2018/7/5";"2018/7/6";"2018/09/28";"2018/11/17";"2018/12/24";"2018/12/25";"2018/12/26"})</f>
        <v>250</v>
      </c>
      <c r="T636" s="231">
        <f t="shared" si="49"/>
        <v>115</v>
      </c>
      <c r="U636" s="231">
        <f t="shared" si="50"/>
        <v>365</v>
      </c>
      <c r="V636" s="312">
        <f t="shared" si="51"/>
        <v>0</v>
      </c>
      <c r="W636" s="233">
        <f t="shared" si="52"/>
        <v>0</v>
      </c>
      <c r="X636" s="234">
        <f t="shared" si="53"/>
        <v>0</v>
      </c>
      <c r="Y636" s="234">
        <f t="shared" si="53"/>
        <v>0</v>
      </c>
    </row>
    <row r="637" spans="1:25" ht="15" x14ac:dyDescent="0.2">
      <c r="A637" s="276" t="s">
        <v>767</v>
      </c>
      <c r="B637" s="391" t="s">
        <v>629</v>
      </c>
      <c r="C637" s="391"/>
      <c r="D637" s="139">
        <f>VLOOKUP(C637,'Seznam HS - nemaš'!$A$1:$B$96,2,FALSE)</f>
        <v>0</v>
      </c>
      <c r="E637" s="19" t="s">
        <v>1507</v>
      </c>
      <c r="F637" s="154" t="s">
        <v>552</v>
      </c>
      <c r="G637" s="154"/>
      <c r="H637" s="28">
        <f>+IF(ISBLANK(I637),0,VLOOKUP(I637,'8Příloha_2_ceník_pravid_úklid'!$B$9:$C$30,2,0))</f>
        <v>16</v>
      </c>
      <c r="I637" s="19" t="s">
        <v>6</v>
      </c>
      <c r="J637" s="155">
        <v>9.94</v>
      </c>
      <c r="K637" s="19" t="s">
        <v>51</v>
      </c>
      <c r="L637" s="156" t="s">
        <v>21</v>
      </c>
      <c r="M637" s="22" t="s">
        <v>49</v>
      </c>
      <c r="N637" s="24">
        <f>IF((VLOOKUP(I637,'8Příloha_2_ceník_pravid_úklid'!$B$9:$I$30,8,0))=0,VLOOKUP(I637,'8Příloha_2_ceník_pravid_úklid'!$B$9:$K$30,10,0),VLOOKUP(I637,'8Příloha_2_ceník_pravid_úklid'!$B$9:$I$30,8,0))</f>
        <v>0</v>
      </c>
      <c r="O637" s="20">
        <v>1</v>
      </c>
      <c r="P637" s="20">
        <v>1</v>
      </c>
      <c r="Q637" s="20">
        <v>0</v>
      </c>
      <c r="R637" s="20">
        <v>0</v>
      </c>
      <c r="S637" s="21">
        <f>NETWORKDAYS.INTL(DATE(2018,1,1),DATE(2018,12,31),1,{"2018/1/1";"2018/3/30";"2018/4/2";"2018/5/1";"2018/5/8";"2018/7/5";"2018/7/6";"2018/09/28";"2018/11/17";"2018/12/24";"2018/12/25";"2018/12/26"})</f>
        <v>250</v>
      </c>
      <c r="T637" s="21">
        <f t="shared" si="49"/>
        <v>115</v>
      </c>
      <c r="U637" s="21">
        <f t="shared" si="50"/>
        <v>365</v>
      </c>
      <c r="V637" s="311">
        <f t="shared" si="51"/>
        <v>250</v>
      </c>
      <c r="W637" s="140">
        <f t="shared" si="52"/>
        <v>0</v>
      </c>
      <c r="X637" s="141">
        <f t="shared" si="53"/>
        <v>0</v>
      </c>
      <c r="Y637" s="141">
        <v>0</v>
      </c>
    </row>
    <row r="638" spans="1:25" ht="15" x14ac:dyDescent="0.2">
      <c r="A638" s="276" t="s">
        <v>1463</v>
      </c>
      <c r="B638" s="391" t="s">
        <v>629</v>
      </c>
      <c r="C638" s="391" t="s">
        <v>199</v>
      </c>
      <c r="D638" s="139" t="str">
        <f>VLOOKUP(C638,'Seznam HS - nemaš'!$A$1:$B$96,2,FALSE)</f>
        <v>435100</v>
      </c>
      <c r="E638" s="19" t="s">
        <v>1508</v>
      </c>
      <c r="F638" s="154" t="s">
        <v>329</v>
      </c>
      <c r="G638" s="154" t="s">
        <v>1465</v>
      </c>
      <c r="H638" s="28">
        <f>+IF(ISBLANK(I638),0,VLOOKUP(I638,'8Příloha_2_ceník_pravid_úklid'!$B$9:$C$30,2,0))</f>
        <v>4</v>
      </c>
      <c r="I638" s="19" t="s">
        <v>9</v>
      </c>
      <c r="J638" s="155">
        <v>19.88</v>
      </c>
      <c r="K638" s="19" t="s">
        <v>52</v>
      </c>
      <c r="L638" s="156" t="s">
        <v>637</v>
      </c>
      <c r="M638" s="22" t="s">
        <v>49</v>
      </c>
      <c r="N638" s="24">
        <f>IF((VLOOKUP(I638,'8Příloha_2_ceník_pravid_úklid'!$B$9:$I$30,8,0))=0,VLOOKUP(I638,'8Příloha_2_ceník_pravid_úklid'!$B$9:$K$30,10,0),VLOOKUP(I638,'8Příloha_2_ceník_pravid_úklid'!$B$9:$I$30,8,0))</f>
        <v>0</v>
      </c>
      <c r="O638" s="20">
        <v>1</v>
      </c>
      <c r="P638" s="20">
        <f>2/5</f>
        <v>0.4</v>
      </c>
      <c r="Q638" s="20">
        <v>0</v>
      </c>
      <c r="R638" s="20">
        <v>0</v>
      </c>
      <c r="S638" s="21">
        <f>NETWORKDAYS.INTL(DATE(2018,1,1),DATE(2018,12,31),1,{"2018/1/1";"2018/3/30";"2018/4/2";"2018/5/1";"2018/5/8";"2018/7/5";"2018/7/6";"2018/09/28";"2018/11/17";"2018/12/24";"2018/12/25";"2018/12/26"})</f>
        <v>250</v>
      </c>
      <c r="T638" s="21">
        <f t="shared" si="49"/>
        <v>115</v>
      </c>
      <c r="U638" s="21">
        <f t="shared" si="50"/>
        <v>365</v>
      </c>
      <c r="V638" s="311">
        <f t="shared" si="51"/>
        <v>100</v>
      </c>
      <c r="W638" s="140">
        <f t="shared" si="52"/>
        <v>0</v>
      </c>
      <c r="X638" s="141">
        <f t="shared" si="53"/>
        <v>0</v>
      </c>
      <c r="Y638" s="141">
        <v>0</v>
      </c>
    </row>
    <row r="639" spans="1:25" ht="15" x14ac:dyDescent="0.2">
      <c r="A639" s="235" t="s">
        <v>1453</v>
      </c>
      <c r="B639" s="396" t="s">
        <v>629</v>
      </c>
      <c r="C639" s="396"/>
      <c r="D639" s="535">
        <f>VLOOKUP(C639,'Seznam HS - nemaš'!$A$1:$B$96,2,FALSE)</f>
        <v>0</v>
      </c>
      <c r="E639" s="229" t="s">
        <v>1509</v>
      </c>
      <c r="F639" s="238" t="s">
        <v>1473</v>
      </c>
      <c r="G639" s="238"/>
      <c r="H639" s="224">
        <f>+IF(ISBLANK(I639),0,VLOOKUP(I639,'8Příloha_2_ceník_pravid_úklid'!$B$9:$C$30,2,0))</f>
        <v>0</v>
      </c>
      <c r="I639" s="229"/>
      <c r="J639" s="233">
        <v>6.8</v>
      </c>
      <c r="K639" s="229" t="s">
        <v>51</v>
      </c>
      <c r="L639" s="242" t="s">
        <v>387</v>
      </c>
      <c r="M639" s="237"/>
      <c r="N639" s="229" t="s">
        <v>501</v>
      </c>
      <c r="O639" s="230">
        <v>0</v>
      </c>
      <c r="P639" s="230">
        <v>0</v>
      </c>
      <c r="Q639" s="230">
        <v>0</v>
      </c>
      <c r="R639" s="230">
        <v>0</v>
      </c>
      <c r="S639" s="231">
        <f>NETWORKDAYS.INTL(DATE(2018,1,1),DATE(2018,12,31),1,{"2018/1/1";"2018/3/30";"2018/4/2";"2018/5/1";"2018/5/8";"2018/7/5";"2018/7/6";"2018/09/28";"2018/11/17";"2018/12/24";"2018/12/25";"2018/12/26"})</f>
        <v>250</v>
      </c>
      <c r="T639" s="231">
        <f t="shared" si="49"/>
        <v>115</v>
      </c>
      <c r="U639" s="231">
        <f t="shared" si="50"/>
        <v>365</v>
      </c>
      <c r="V639" s="312">
        <f t="shared" si="51"/>
        <v>0</v>
      </c>
      <c r="W639" s="233">
        <f t="shared" si="52"/>
        <v>0</v>
      </c>
      <c r="X639" s="234">
        <f t="shared" si="53"/>
        <v>0</v>
      </c>
      <c r="Y639" s="234">
        <f t="shared" si="53"/>
        <v>0</v>
      </c>
    </row>
    <row r="640" spans="1:25" ht="15" x14ac:dyDescent="0.2">
      <c r="A640" s="276" t="s">
        <v>767</v>
      </c>
      <c r="B640" s="391" t="s">
        <v>629</v>
      </c>
      <c r="C640" s="391"/>
      <c r="D640" s="139">
        <f>VLOOKUP(C640,'Seznam HS - nemaš'!$A$1:$B$96,2,FALSE)</f>
        <v>0</v>
      </c>
      <c r="E640" s="19" t="s">
        <v>1510</v>
      </c>
      <c r="F640" s="154" t="s">
        <v>1494</v>
      </c>
      <c r="G640" s="154" t="s">
        <v>1495</v>
      </c>
      <c r="H640" s="28">
        <f>+IF(ISBLANK(I640),0,VLOOKUP(I640,'8Příloha_2_ceník_pravid_úklid'!$B$9:$C$30,2,0))</f>
        <v>4</v>
      </c>
      <c r="I640" s="19" t="s">
        <v>9</v>
      </c>
      <c r="J640" s="155">
        <v>29.52</v>
      </c>
      <c r="K640" s="19" t="s">
        <v>52</v>
      </c>
      <c r="L640" s="156" t="s">
        <v>637</v>
      </c>
      <c r="M640" s="22" t="s">
        <v>49</v>
      </c>
      <c r="N640" s="24">
        <f>IF((VLOOKUP(I640,'8Příloha_2_ceník_pravid_úklid'!$B$9:$I$30,8,0))=0,VLOOKUP(I640,'8Příloha_2_ceník_pravid_úklid'!$B$9:$K$30,10,0),VLOOKUP(I640,'8Příloha_2_ceník_pravid_úklid'!$B$9:$I$30,8,0))</f>
        <v>0</v>
      </c>
      <c r="O640" s="20">
        <v>1</v>
      </c>
      <c r="P640" s="20">
        <f>2/5</f>
        <v>0.4</v>
      </c>
      <c r="Q640" s="20">
        <v>0</v>
      </c>
      <c r="R640" s="20">
        <v>0</v>
      </c>
      <c r="S640" s="21">
        <f>NETWORKDAYS.INTL(DATE(2018,1,1),DATE(2018,12,31),1,{"2018/1/1";"2018/3/30";"2018/4/2";"2018/5/1";"2018/5/8";"2018/7/5";"2018/7/6";"2018/09/28";"2018/11/17";"2018/12/24";"2018/12/25";"2018/12/26"})</f>
        <v>250</v>
      </c>
      <c r="T640" s="21">
        <f t="shared" si="49"/>
        <v>115</v>
      </c>
      <c r="U640" s="21">
        <f t="shared" si="50"/>
        <v>365</v>
      </c>
      <c r="V640" s="311">
        <f t="shared" si="51"/>
        <v>100</v>
      </c>
      <c r="W640" s="140">
        <f t="shared" si="52"/>
        <v>0</v>
      </c>
      <c r="X640" s="141">
        <f t="shared" si="53"/>
        <v>0</v>
      </c>
      <c r="Y640" s="141">
        <v>0</v>
      </c>
    </row>
    <row r="641" spans="1:25" ht="15" x14ac:dyDescent="0.2">
      <c r="A641" s="276" t="s">
        <v>1463</v>
      </c>
      <c r="B641" s="391" t="s">
        <v>629</v>
      </c>
      <c r="C641" s="391" t="s">
        <v>171</v>
      </c>
      <c r="D641" s="139" t="str">
        <f>VLOOKUP(C641,'Seznam HS - nemaš'!$A$1:$B$96,2,FALSE)</f>
        <v>411400</v>
      </c>
      <c r="E641" s="19" t="s">
        <v>1511</v>
      </c>
      <c r="F641" s="154" t="s">
        <v>329</v>
      </c>
      <c r="G641" s="154" t="s">
        <v>1465</v>
      </c>
      <c r="H641" s="28">
        <f>+IF(ISBLANK(I641),0,VLOOKUP(I641,'8Příloha_2_ceník_pravid_úklid'!$B$9:$C$30,2,0))</f>
        <v>4</v>
      </c>
      <c r="I641" s="19" t="s">
        <v>9</v>
      </c>
      <c r="J641" s="155">
        <v>13.44</v>
      </c>
      <c r="K641" s="19" t="s">
        <v>52</v>
      </c>
      <c r="L641" s="156" t="s">
        <v>637</v>
      </c>
      <c r="M641" s="22" t="s">
        <v>49</v>
      </c>
      <c r="N641" s="24">
        <f>IF((VLOOKUP(I641,'8Příloha_2_ceník_pravid_úklid'!$B$9:$I$30,8,0))=0,VLOOKUP(I641,'8Příloha_2_ceník_pravid_úklid'!$B$9:$K$30,10,0),VLOOKUP(I641,'8Příloha_2_ceník_pravid_úklid'!$B$9:$I$30,8,0))</f>
        <v>0</v>
      </c>
      <c r="O641" s="20">
        <v>1</v>
      </c>
      <c r="P641" s="20">
        <f>2/5</f>
        <v>0.4</v>
      </c>
      <c r="Q641" s="20">
        <v>0</v>
      </c>
      <c r="R641" s="20">
        <v>0</v>
      </c>
      <c r="S641" s="21">
        <f>NETWORKDAYS.INTL(DATE(2018,1,1),DATE(2018,12,31),1,{"2018/1/1";"2018/3/30";"2018/4/2";"2018/5/1";"2018/5/8";"2018/7/5";"2018/7/6";"2018/09/28";"2018/11/17";"2018/12/24";"2018/12/25";"2018/12/26"})</f>
        <v>250</v>
      </c>
      <c r="T641" s="21">
        <f t="shared" si="49"/>
        <v>115</v>
      </c>
      <c r="U641" s="21">
        <f t="shared" si="50"/>
        <v>365</v>
      </c>
      <c r="V641" s="311">
        <f t="shared" si="51"/>
        <v>100</v>
      </c>
      <c r="W641" s="140">
        <f t="shared" si="52"/>
        <v>0</v>
      </c>
      <c r="X641" s="141">
        <f t="shared" si="53"/>
        <v>0</v>
      </c>
      <c r="Y641" s="141">
        <v>0</v>
      </c>
    </row>
    <row r="642" spans="1:25" ht="15" x14ac:dyDescent="0.2">
      <c r="A642" s="276" t="s">
        <v>1463</v>
      </c>
      <c r="B642" s="391" t="s">
        <v>629</v>
      </c>
      <c r="C642" s="391" t="s">
        <v>185</v>
      </c>
      <c r="D642" s="139" t="str">
        <f>VLOOKUP(C642,'Seznam HS - nemaš'!$A$1:$B$96,2,FALSE)</f>
        <v>430100</v>
      </c>
      <c r="E642" s="19" t="s">
        <v>1512</v>
      </c>
      <c r="F642" s="154" t="s">
        <v>329</v>
      </c>
      <c r="G642" s="154" t="s">
        <v>1465</v>
      </c>
      <c r="H642" s="28">
        <f>+IF(ISBLANK(I642),0,VLOOKUP(I642,'8Příloha_2_ceník_pravid_úklid'!$B$9:$C$30,2,0))</f>
        <v>4</v>
      </c>
      <c r="I642" s="19" t="s">
        <v>9</v>
      </c>
      <c r="J642" s="155">
        <v>13.44</v>
      </c>
      <c r="K642" s="19" t="s">
        <v>52</v>
      </c>
      <c r="L642" s="156" t="s">
        <v>637</v>
      </c>
      <c r="M642" s="22" t="s">
        <v>49</v>
      </c>
      <c r="N642" s="24">
        <f>IF((VLOOKUP(I642,'8Příloha_2_ceník_pravid_úklid'!$B$9:$I$30,8,0))=0,VLOOKUP(I642,'8Příloha_2_ceník_pravid_úklid'!$B$9:$K$30,10,0),VLOOKUP(I642,'8Příloha_2_ceník_pravid_úklid'!$B$9:$I$30,8,0))</f>
        <v>0</v>
      </c>
      <c r="O642" s="20">
        <v>1</v>
      </c>
      <c r="P642" s="20">
        <f>2/5</f>
        <v>0.4</v>
      </c>
      <c r="Q642" s="20">
        <v>0</v>
      </c>
      <c r="R642" s="20">
        <v>0</v>
      </c>
      <c r="S642" s="21">
        <f>NETWORKDAYS.INTL(DATE(2018,1,1),DATE(2018,12,31),1,{"2018/1/1";"2018/3/30";"2018/4/2";"2018/5/1";"2018/5/8";"2018/7/5";"2018/7/6";"2018/09/28";"2018/11/17";"2018/12/24";"2018/12/25";"2018/12/26"})</f>
        <v>250</v>
      </c>
      <c r="T642" s="21">
        <f t="shared" si="49"/>
        <v>115</v>
      </c>
      <c r="U642" s="21">
        <f t="shared" si="50"/>
        <v>365</v>
      </c>
      <c r="V642" s="311">
        <f t="shared" si="51"/>
        <v>100</v>
      </c>
      <c r="W642" s="140">
        <f t="shared" si="52"/>
        <v>0</v>
      </c>
      <c r="X642" s="141">
        <f t="shared" si="53"/>
        <v>0</v>
      </c>
      <c r="Y642" s="141">
        <v>0</v>
      </c>
    </row>
    <row r="643" spans="1:25" ht="15" x14ac:dyDescent="0.2">
      <c r="A643" s="276" t="s">
        <v>1463</v>
      </c>
      <c r="B643" s="391" t="s">
        <v>629</v>
      </c>
      <c r="C643" s="391" t="s">
        <v>195</v>
      </c>
      <c r="D643" s="139" t="str">
        <f>VLOOKUP(C643,'Seznam HS - nemaš'!$A$1:$B$96,2,FALSE)</f>
        <v>432400</v>
      </c>
      <c r="E643" s="19" t="s">
        <v>1513</v>
      </c>
      <c r="F643" s="154" t="s">
        <v>329</v>
      </c>
      <c r="G643" s="154" t="s">
        <v>1514</v>
      </c>
      <c r="H643" s="28">
        <f>+IF(ISBLANK(I643),0,VLOOKUP(I643,'8Příloha_2_ceník_pravid_úklid'!$B$9:$C$30,2,0))</f>
        <v>4</v>
      </c>
      <c r="I643" s="19" t="s">
        <v>9</v>
      </c>
      <c r="J643" s="155">
        <v>27.6</v>
      </c>
      <c r="K643" s="19" t="s">
        <v>52</v>
      </c>
      <c r="L643" s="156" t="s">
        <v>637</v>
      </c>
      <c r="M643" s="22" t="s">
        <v>49</v>
      </c>
      <c r="N643" s="24">
        <f>IF((VLOOKUP(I643,'8Příloha_2_ceník_pravid_úklid'!$B$9:$I$30,8,0))=0,VLOOKUP(I643,'8Příloha_2_ceník_pravid_úklid'!$B$9:$K$30,10,0),VLOOKUP(I643,'8Příloha_2_ceník_pravid_úklid'!$B$9:$I$30,8,0))</f>
        <v>0</v>
      </c>
      <c r="O643" s="20">
        <v>1</v>
      </c>
      <c r="P643" s="20">
        <f>2/5</f>
        <v>0.4</v>
      </c>
      <c r="Q643" s="20">
        <v>0</v>
      </c>
      <c r="R643" s="20">
        <v>0</v>
      </c>
      <c r="S643" s="21">
        <f>NETWORKDAYS.INTL(DATE(2018,1,1),DATE(2018,12,31),1,{"2018/1/1";"2018/3/30";"2018/4/2";"2018/5/1";"2018/5/8";"2018/7/5";"2018/7/6";"2018/09/28";"2018/11/17";"2018/12/24";"2018/12/25";"2018/12/26"})</f>
        <v>250</v>
      </c>
      <c r="T643" s="21">
        <f t="shared" si="49"/>
        <v>115</v>
      </c>
      <c r="U643" s="21">
        <f t="shared" si="50"/>
        <v>365</v>
      </c>
      <c r="V643" s="311">
        <f t="shared" si="51"/>
        <v>100</v>
      </c>
      <c r="W643" s="140">
        <f t="shared" si="52"/>
        <v>0</v>
      </c>
      <c r="X643" s="141">
        <f t="shared" si="53"/>
        <v>0</v>
      </c>
      <c r="Y643" s="141">
        <v>0</v>
      </c>
    </row>
    <row r="644" spans="1:25" ht="15" x14ac:dyDescent="0.2">
      <c r="A644" s="235" t="s">
        <v>1463</v>
      </c>
      <c r="B644" s="396" t="s">
        <v>629</v>
      </c>
      <c r="C644" s="396"/>
      <c r="D644" s="535">
        <f>VLOOKUP(C644,'Seznam HS - nemaš'!$A$1:$B$96,2,FALSE)</f>
        <v>0</v>
      </c>
      <c r="E644" s="229" t="s">
        <v>1515</v>
      </c>
      <c r="F644" s="238" t="s">
        <v>398</v>
      </c>
      <c r="G644" s="238"/>
      <c r="H644" s="224">
        <f>+IF(ISBLANK(I644),0,VLOOKUP(I644,'8Příloha_2_ceník_pravid_úklid'!$B$9:$C$30,2,0))</f>
        <v>0</v>
      </c>
      <c r="I644" s="229"/>
      <c r="J644" s="233"/>
      <c r="K644" s="229"/>
      <c r="L644" s="242" t="s">
        <v>387</v>
      </c>
      <c r="M644" s="237"/>
      <c r="N644" s="229" t="s">
        <v>501</v>
      </c>
      <c r="O644" s="230">
        <v>0</v>
      </c>
      <c r="P644" s="230">
        <v>0</v>
      </c>
      <c r="Q644" s="230">
        <v>0</v>
      </c>
      <c r="R644" s="230">
        <v>0</v>
      </c>
      <c r="S644" s="231">
        <f>NETWORKDAYS.INTL(DATE(2018,1,1),DATE(2018,12,31),1,{"2018/1/1";"2018/3/30";"2018/4/2";"2018/5/1";"2018/5/8";"2018/7/5";"2018/7/6";"2018/09/28";"2018/11/17";"2018/12/24";"2018/12/25";"2018/12/26"})</f>
        <v>250</v>
      </c>
      <c r="T644" s="231">
        <f t="shared" si="49"/>
        <v>115</v>
      </c>
      <c r="U644" s="231">
        <f t="shared" si="50"/>
        <v>365</v>
      </c>
      <c r="V644" s="312">
        <f t="shared" si="51"/>
        <v>0</v>
      </c>
      <c r="W644" s="233">
        <f t="shared" si="52"/>
        <v>0</v>
      </c>
      <c r="X644" s="234">
        <f t="shared" si="53"/>
        <v>0</v>
      </c>
      <c r="Y644" s="234">
        <f t="shared" si="53"/>
        <v>0</v>
      </c>
    </row>
    <row r="645" spans="1:25" ht="15" x14ac:dyDescent="0.2">
      <c r="A645" s="276" t="s">
        <v>1463</v>
      </c>
      <c r="B645" s="391" t="s">
        <v>629</v>
      </c>
      <c r="C645" s="391" t="s">
        <v>187</v>
      </c>
      <c r="D645" s="139" t="str">
        <f>VLOOKUP(C645,'Seznam HS - nemaš'!$A$1:$B$96,2,FALSE)</f>
        <v>430101</v>
      </c>
      <c r="E645" s="19" t="s">
        <v>1516</v>
      </c>
      <c r="F645" s="154"/>
      <c r="G645" s="154" t="s">
        <v>1517</v>
      </c>
      <c r="H645" s="28">
        <f>+IF(ISBLANK(I645),0,VLOOKUP(I645,'8Příloha_2_ceník_pravid_úklid'!$B$9:$C$30,2,0))</f>
        <v>4</v>
      </c>
      <c r="I645" s="19" t="s">
        <v>9</v>
      </c>
      <c r="J645" s="155">
        <v>13.44</v>
      </c>
      <c r="K645" s="19" t="s">
        <v>52</v>
      </c>
      <c r="L645" s="156" t="s">
        <v>637</v>
      </c>
      <c r="M645" s="22" t="s">
        <v>49</v>
      </c>
      <c r="N645" s="24">
        <f>IF((VLOOKUP(I645,'8Příloha_2_ceník_pravid_úklid'!$B$9:$I$30,8,0))=0,VLOOKUP(I645,'8Příloha_2_ceník_pravid_úklid'!$B$9:$K$30,10,0),VLOOKUP(I645,'8Příloha_2_ceník_pravid_úklid'!$B$9:$I$30,8,0))</f>
        <v>0</v>
      </c>
      <c r="O645" s="20">
        <v>1</v>
      </c>
      <c r="P645" s="20">
        <f>2/5</f>
        <v>0.4</v>
      </c>
      <c r="Q645" s="20">
        <v>0</v>
      </c>
      <c r="R645" s="20">
        <v>0</v>
      </c>
      <c r="S645" s="21">
        <f>NETWORKDAYS.INTL(DATE(2018,1,1),DATE(2018,12,31),1,{"2018/1/1";"2018/3/30";"2018/4/2";"2018/5/1";"2018/5/8";"2018/7/5";"2018/7/6";"2018/09/28";"2018/11/17";"2018/12/24";"2018/12/25";"2018/12/26"})</f>
        <v>250</v>
      </c>
      <c r="T645" s="21">
        <f t="shared" si="49"/>
        <v>115</v>
      </c>
      <c r="U645" s="21">
        <f t="shared" si="50"/>
        <v>365</v>
      </c>
      <c r="V645" s="311">
        <f t="shared" si="51"/>
        <v>100</v>
      </c>
      <c r="W645" s="140">
        <f t="shared" si="52"/>
        <v>0</v>
      </c>
      <c r="X645" s="141">
        <f t="shared" si="53"/>
        <v>0</v>
      </c>
      <c r="Y645" s="141">
        <v>0</v>
      </c>
    </row>
    <row r="646" spans="1:25" ht="15" x14ac:dyDescent="0.2">
      <c r="A646" s="276" t="s">
        <v>1463</v>
      </c>
      <c r="B646" s="391" t="s">
        <v>629</v>
      </c>
      <c r="C646" s="391" t="s">
        <v>139</v>
      </c>
      <c r="D646" s="139" t="str">
        <f>VLOOKUP(C646,'Seznam HS - nemaš'!$A$1:$B$96,2,FALSE)</f>
        <v>401404</v>
      </c>
      <c r="E646" s="19" t="s">
        <v>1518</v>
      </c>
      <c r="F646" s="154" t="s">
        <v>329</v>
      </c>
      <c r="G646" s="154" t="s">
        <v>1465</v>
      </c>
      <c r="H646" s="28">
        <f>+IF(ISBLANK(I646),0,VLOOKUP(I646,'8Příloha_2_ceník_pravid_úklid'!$B$9:$C$30,2,0))</f>
        <v>4</v>
      </c>
      <c r="I646" s="19" t="s">
        <v>9</v>
      </c>
      <c r="J646" s="155">
        <v>13.44</v>
      </c>
      <c r="K646" s="19" t="s">
        <v>52</v>
      </c>
      <c r="L646" s="156" t="s">
        <v>637</v>
      </c>
      <c r="M646" s="22" t="s">
        <v>49</v>
      </c>
      <c r="N646" s="24">
        <f>IF((VLOOKUP(I646,'8Příloha_2_ceník_pravid_úklid'!$B$9:$I$30,8,0))=0,VLOOKUP(I646,'8Příloha_2_ceník_pravid_úklid'!$B$9:$K$30,10,0),VLOOKUP(I646,'8Příloha_2_ceník_pravid_úklid'!$B$9:$I$30,8,0))</f>
        <v>0</v>
      </c>
      <c r="O646" s="20">
        <v>1</v>
      </c>
      <c r="P646" s="20">
        <f>2/5</f>
        <v>0.4</v>
      </c>
      <c r="Q646" s="20">
        <v>0</v>
      </c>
      <c r="R646" s="20">
        <v>0</v>
      </c>
      <c r="S646" s="21">
        <f>NETWORKDAYS.INTL(DATE(2018,1,1),DATE(2018,12,31),1,{"2018/1/1";"2018/3/30";"2018/4/2";"2018/5/1";"2018/5/8";"2018/7/5";"2018/7/6";"2018/09/28";"2018/11/17";"2018/12/24";"2018/12/25";"2018/12/26"})</f>
        <v>250</v>
      </c>
      <c r="T646" s="21">
        <f t="shared" ref="T646:T684" si="54">U646-S646</f>
        <v>115</v>
      </c>
      <c r="U646" s="21">
        <f t="shared" ref="U646:U684" si="55">_xlfn.DAYS("1.1.2019","1.1.2018")</f>
        <v>365</v>
      </c>
      <c r="V646" s="311">
        <f t="shared" ref="V646:V684" si="56">ROUND(O646*P646*S646+Q646*R646*T646,2)</f>
        <v>100</v>
      </c>
      <c r="W646" s="140">
        <f t="shared" ref="W646:W684" si="57">ROUND(IF(N646="neoceňuje se",+J646*0*V646,J646*N646*V646),2)</f>
        <v>0</v>
      </c>
      <c r="X646" s="141">
        <f t="shared" ref="X646:Y684" si="58">ROUND(W646*1.21,2)</f>
        <v>0</v>
      </c>
      <c r="Y646" s="141">
        <v>0</v>
      </c>
    </row>
    <row r="647" spans="1:25" ht="15" x14ac:dyDescent="0.2">
      <c r="A647" s="276" t="s">
        <v>1463</v>
      </c>
      <c r="B647" s="391" t="s">
        <v>629</v>
      </c>
      <c r="C647" s="391" t="s">
        <v>187</v>
      </c>
      <c r="D647" s="139" t="str">
        <f>VLOOKUP(C647,'Seznam HS - nemaš'!$A$1:$B$96,2,FALSE)</f>
        <v>430101</v>
      </c>
      <c r="E647" s="19" t="s">
        <v>1519</v>
      </c>
      <c r="F647" s="154" t="s">
        <v>329</v>
      </c>
      <c r="G647" s="154" t="s">
        <v>1465</v>
      </c>
      <c r="H647" s="28">
        <f>+IF(ISBLANK(I647),0,VLOOKUP(I647,'8Příloha_2_ceník_pravid_úklid'!$B$9:$C$30,2,0))</f>
        <v>4</v>
      </c>
      <c r="I647" s="19" t="s">
        <v>9</v>
      </c>
      <c r="J647" s="155">
        <v>27.6</v>
      </c>
      <c r="K647" s="19" t="s">
        <v>52</v>
      </c>
      <c r="L647" s="156" t="s">
        <v>637</v>
      </c>
      <c r="M647" s="22" t="s">
        <v>49</v>
      </c>
      <c r="N647" s="24">
        <f>IF((VLOOKUP(I647,'8Příloha_2_ceník_pravid_úklid'!$B$9:$I$30,8,0))=0,VLOOKUP(I647,'8Příloha_2_ceník_pravid_úklid'!$B$9:$K$30,10,0),VLOOKUP(I647,'8Příloha_2_ceník_pravid_úklid'!$B$9:$I$30,8,0))</f>
        <v>0</v>
      </c>
      <c r="O647" s="20">
        <v>1</v>
      </c>
      <c r="P647" s="20">
        <f>2/5</f>
        <v>0.4</v>
      </c>
      <c r="Q647" s="20">
        <v>0</v>
      </c>
      <c r="R647" s="20">
        <v>0</v>
      </c>
      <c r="S647" s="21">
        <f>NETWORKDAYS.INTL(DATE(2018,1,1),DATE(2018,12,31),1,{"2018/1/1";"2018/3/30";"2018/4/2";"2018/5/1";"2018/5/8";"2018/7/5";"2018/7/6";"2018/09/28";"2018/11/17";"2018/12/24";"2018/12/25";"2018/12/26"})</f>
        <v>250</v>
      </c>
      <c r="T647" s="21">
        <f t="shared" si="54"/>
        <v>115</v>
      </c>
      <c r="U647" s="21">
        <f t="shared" si="55"/>
        <v>365</v>
      </c>
      <c r="V647" s="311">
        <f t="shared" si="56"/>
        <v>100</v>
      </c>
      <c r="W647" s="140">
        <f t="shared" si="57"/>
        <v>0</v>
      </c>
      <c r="X647" s="141">
        <f t="shared" si="58"/>
        <v>0</v>
      </c>
      <c r="Y647" s="141">
        <v>0</v>
      </c>
    </row>
    <row r="648" spans="1:25" ht="15" x14ac:dyDescent="0.2">
      <c r="A648" s="235" t="s">
        <v>1463</v>
      </c>
      <c r="B648" s="396" t="s">
        <v>629</v>
      </c>
      <c r="C648" s="396"/>
      <c r="D648" s="535">
        <f>VLOOKUP(C648,'Seznam HS - nemaš'!$A$1:$B$96,2,FALSE)</f>
        <v>0</v>
      </c>
      <c r="E648" s="229" t="s">
        <v>1520</v>
      </c>
      <c r="F648" s="238" t="s">
        <v>398</v>
      </c>
      <c r="G648" s="238"/>
      <c r="H648" s="224">
        <f>+IF(ISBLANK(I648),0,VLOOKUP(I648,'8Příloha_2_ceník_pravid_úklid'!$B$9:$C$30,2,0))</f>
        <v>0</v>
      </c>
      <c r="I648" s="229"/>
      <c r="J648" s="233"/>
      <c r="K648" s="229"/>
      <c r="L648" s="242" t="s">
        <v>387</v>
      </c>
      <c r="M648" s="237"/>
      <c r="N648" s="229" t="s">
        <v>501</v>
      </c>
      <c r="O648" s="230">
        <v>0</v>
      </c>
      <c r="P648" s="230">
        <v>0</v>
      </c>
      <c r="Q648" s="230">
        <v>0</v>
      </c>
      <c r="R648" s="230">
        <v>0</v>
      </c>
      <c r="S648" s="231">
        <f>NETWORKDAYS.INTL(DATE(2018,1,1),DATE(2018,12,31),1,{"2018/1/1";"2018/3/30";"2018/4/2";"2018/5/1";"2018/5/8";"2018/7/5";"2018/7/6";"2018/09/28";"2018/11/17";"2018/12/24";"2018/12/25";"2018/12/26"})</f>
        <v>250</v>
      </c>
      <c r="T648" s="231">
        <f t="shared" si="54"/>
        <v>115</v>
      </c>
      <c r="U648" s="231">
        <f t="shared" si="55"/>
        <v>365</v>
      </c>
      <c r="V648" s="312">
        <f t="shared" si="56"/>
        <v>0</v>
      </c>
      <c r="W648" s="233">
        <f t="shared" si="57"/>
        <v>0</v>
      </c>
      <c r="X648" s="234">
        <f t="shared" si="58"/>
        <v>0</v>
      </c>
      <c r="Y648" s="234">
        <f t="shared" si="58"/>
        <v>0</v>
      </c>
    </row>
    <row r="649" spans="1:25" ht="15" x14ac:dyDescent="0.2">
      <c r="A649" s="276" t="s">
        <v>1463</v>
      </c>
      <c r="B649" s="391" t="s">
        <v>629</v>
      </c>
      <c r="C649" s="391" t="s">
        <v>185</v>
      </c>
      <c r="D649" s="139" t="str">
        <f>VLOOKUP(C649,'Seznam HS - nemaš'!$A$1:$B$96,2,FALSE)</f>
        <v>430100</v>
      </c>
      <c r="E649" s="19" t="s">
        <v>1521</v>
      </c>
      <c r="F649" s="154" t="s">
        <v>329</v>
      </c>
      <c r="G649" s="154" t="s">
        <v>1465</v>
      </c>
      <c r="H649" s="28">
        <f>+IF(ISBLANK(I649),0,VLOOKUP(I649,'8Příloha_2_ceník_pravid_úklid'!$B$9:$C$30,2,0))</f>
        <v>4</v>
      </c>
      <c r="I649" s="19" t="s">
        <v>9</v>
      </c>
      <c r="J649" s="155">
        <v>13.44</v>
      </c>
      <c r="K649" s="19" t="s">
        <v>52</v>
      </c>
      <c r="L649" s="156" t="s">
        <v>637</v>
      </c>
      <c r="M649" s="22" t="s">
        <v>49</v>
      </c>
      <c r="N649" s="24">
        <f>IF((VLOOKUP(I649,'8Příloha_2_ceník_pravid_úklid'!$B$9:$I$30,8,0))=0,VLOOKUP(I649,'8Příloha_2_ceník_pravid_úklid'!$B$9:$K$30,10,0),VLOOKUP(I649,'8Příloha_2_ceník_pravid_úklid'!$B$9:$I$30,8,0))</f>
        <v>0</v>
      </c>
      <c r="O649" s="20">
        <v>1</v>
      </c>
      <c r="P649" s="20">
        <f>2/5</f>
        <v>0.4</v>
      </c>
      <c r="Q649" s="20">
        <v>0</v>
      </c>
      <c r="R649" s="20">
        <v>0</v>
      </c>
      <c r="S649" s="21">
        <f>NETWORKDAYS.INTL(DATE(2018,1,1),DATE(2018,12,31),1,{"2018/1/1";"2018/3/30";"2018/4/2";"2018/5/1";"2018/5/8";"2018/7/5";"2018/7/6";"2018/09/28";"2018/11/17";"2018/12/24";"2018/12/25";"2018/12/26"})</f>
        <v>250</v>
      </c>
      <c r="T649" s="21">
        <f t="shared" si="54"/>
        <v>115</v>
      </c>
      <c r="U649" s="21">
        <f t="shared" si="55"/>
        <v>365</v>
      </c>
      <c r="V649" s="311">
        <f t="shared" si="56"/>
        <v>100</v>
      </c>
      <c r="W649" s="140">
        <f t="shared" si="57"/>
        <v>0</v>
      </c>
      <c r="X649" s="141">
        <f t="shared" si="58"/>
        <v>0</v>
      </c>
      <c r="Y649" s="141">
        <v>0</v>
      </c>
    </row>
    <row r="650" spans="1:25" ht="15" x14ac:dyDescent="0.2">
      <c r="A650" s="276" t="s">
        <v>1463</v>
      </c>
      <c r="B650" s="391" t="s">
        <v>629</v>
      </c>
      <c r="C650" s="391" t="s">
        <v>187</v>
      </c>
      <c r="D650" s="139" t="str">
        <f>VLOOKUP(C650,'Seznam HS - nemaš'!$A$1:$B$96,2,FALSE)</f>
        <v>430101</v>
      </c>
      <c r="E650" s="19" t="s">
        <v>1522</v>
      </c>
      <c r="F650" s="154" t="s">
        <v>329</v>
      </c>
      <c r="G650" s="154" t="s">
        <v>1465</v>
      </c>
      <c r="H650" s="28">
        <f>+IF(ISBLANK(I650),0,VLOOKUP(I650,'8Příloha_2_ceník_pravid_úklid'!$B$9:$C$30,2,0))</f>
        <v>4</v>
      </c>
      <c r="I650" s="19" t="s">
        <v>9</v>
      </c>
      <c r="J650" s="155">
        <v>13.44</v>
      </c>
      <c r="K650" s="19" t="s">
        <v>52</v>
      </c>
      <c r="L650" s="156" t="s">
        <v>637</v>
      </c>
      <c r="M650" s="22" t="s">
        <v>49</v>
      </c>
      <c r="N650" s="24">
        <f>IF((VLOOKUP(I650,'8Příloha_2_ceník_pravid_úklid'!$B$9:$I$30,8,0))=0,VLOOKUP(I650,'8Příloha_2_ceník_pravid_úklid'!$B$9:$K$30,10,0),VLOOKUP(I650,'8Příloha_2_ceník_pravid_úklid'!$B$9:$I$30,8,0))</f>
        <v>0</v>
      </c>
      <c r="O650" s="20">
        <v>1</v>
      </c>
      <c r="P650" s="20">
        <f>2/5</f>
        <v>0.4</v>
      </c>
      <c r="Q650" s="20">
        <v>0</v>
      </c>
      <c r="R650" s="20">
        <v>0</v>
      </c>
      <c r="S650" s="21">
        <f>NETWORKDAYS.INTL(DATE(2018,1,1),DATE(2018,12,31),1,{"2018/1/1";"2018/3/30";"2018/4/2";"2018/5/1";"2018/5/8";"2018/7/5";"2018/7/6";"2018/09/28";"2018/11/17";"2018/12/24";"2018/12/25";"2018/12/26"})</f>
        <v>250</v>
      </c>
      <c r="T650" s="21">
        <f t="shared" si="54"/>
        <v>115</v>
      </c>
      <c r="U650" s="21">
        <f t="shared" si="55"/>
        <v>365</v>
      </c>
      <c r="V650" s="311">
        <f t="shared" si="56"/>
        <v>100</v>
      </c>
      <c r="W650" s="140">
        <f t="shared" si="57"/>
        <v>0</v>
      </c>
      <c r="X650" s="141">
        <f t="shared" si="58"/>
        <v>0</v>
      </c>
      <c r="Y650" s="141">
        <v>0</v>
      </c>
    </row>
    <row r="651" spans="1:25" ht="15" x14ac:dyDescent="0.2">
      <c r="A651" s="276" t="s">
        <v>1463</v>
      </c>
      <c r="B651" s="391" t="s">
        <v>629</v>
      </c>
      <c r="C651" s="391" t="s">
        <v>185</v>
      </c>
      <c r="D651" s="139" t="str">
        <f>VLOOKUP(C651,'Seznam HS - nemaš'!$A$1:$B$96,2,FALSE)</f>
        <v>430100</v>
      </c>
      <c r="E651" s="19" t="s">
        <v>1523</v>
      </c>
      <c r="F651" s="154" t="s">
        <v>329</v>
      </c>
      <c r="G651" s="154" t="s">
        <v>1465</v>
      </c>
      <c r="H651" s="28">
        <f>+IF(ISBLANK(I651),0,VLOOKUP(I651,'8Příloha_2_ceník_pravid_úklid'!$B$9:$C$30,2,0))</f>
        <v>4</v>
      </c>
      <c r="I651" s="19" t="s">
        <v>9</v>
      </c>
      <c r="J651" s="155">
        <v>26.88</v>
      </c>
      <c r="K651" s="19" t="s">
        <v>52</v>
      </c>
      <c r="L651" s="156" t="s">
        <v>637</v>
      </c>
      <c r="M651" s="22" t="s">
        <v>49</v>
      </c>
      <c r="N651" s="24">
        <f>IF((VLOOKUP(I651,'8Příloha_2_ceník_pravid_úklid'!$B$9:$I$30,8,0))=0,VLOOKUP(I651,'8Příloha_2_ceník_pravid_úklid'!$B$9:$K$30,10,0),VLOOKUP(I651,'8Příloha_2_ceník_pravid_úklid'!$B$9:$I$30,8,0))</f>
        <v>0</v>
      </c>
      <c r="O651" s="20">
        <v>1</v>
      </c>
      <c r="P651" s="20">
        <f>2/5</f>
        <v>0.4</v>
      </c>
      <c r="Q651" s="20">
        <v>0</v>
      </c>
      <c r="R651" s="20">
        <v>0</v>
      </c>
      <c r="S651" s="21">
        <f>NETWORKDAYS.INTL(DATE(2018,1,1),DATE(2018,12,31),1,{"2018/1/1";"2018/3/30";"2018/4/2";"2018/5/1";"2018/5/8";"2018/7/5";"2018/7/6";"2018/09/28";"2018/11/17";"2018/12/24";"2018/12/25";"2018/12/26"})</f>
        <v>250</v>
      </c>
      <c r="T651" s="21">
        <f t="shared" si="54"/>
        <v>115</v>
      </c>
      <c r="U651" s="21">
        <f t="shared" si="55"/>
        <v>365</v>
      </c>
      <c r="V651" s="311">
        <f t="shared" si="56"/>
        <v>100</v>
      </c>
      <c r="W651" s="140">
        <f t="shared" si="57"/>
        <v>0</v>
      </c>
      <c r="X651" s="141">
        <f t="shared" si="58"/>
        <v>0</v>
      </c>
      <c r="Y651" s="141">
        <v>0</v>
      </c>
    </row>
    <row r="652" spans="1:25" ht="15" x14ac:dyDescent="0.2">
      <c r="A652" s="235" t="s">
        <v>1463</v>
      </c>
      <c r="B652" s="396" t="s">
        <v>629</v>
      </c>
      <c r="C652" s="396"/>
      <c r="D652" s="535">
        <f>VLOOKUP(C652,'Seznam HS - nemaš'!$A$1:$B$96,2,FALSE)</f>
        <v>0</v>
      </c>
      <c r="E652" s="229" t="s">
        <v>1524</v>
      </c>
      <c r="F652" s="238" t="s">
        <v>398</v>
      </c>
      <c r="G652" s="238"/>
      <c r="H652" s="224">
        <f>+IF(ISBLANK(I652),0,VLOOKUP(I652,'8Příloha_2_ceník_pravid_úklid'!$B$9:$C$30,2,0))</f>
        <v>0</v>
      </c>
      <c r="I652" s="229"/>
      <c r="J652" s="233"/>
      <c r="K652" s="229"/>
      <c r="L652" s="242" t="s">
        <v>387</v>
      </c>
      <c r="M652" s="237"/>
      <c r="N652" s="229" t="s">
        <v>501</v>
      </c>
      <c r="O652" s="230">
        <v>0</v>
      </c>
      <c r="P652" s="230">
        <v>0</v>
      </c>
      <c r="Q652" s="230">
        <v>0</v>
      </c>
      <c r="R652" s="230">
        <v>0</v>
      </c>
      <c r="S652" s="231">
        <f>NETWORKDAYS.INTL(DATE(2018,1,1),DATE(2018,12,31),1,{"2018/1/1";"2018/3/30";"2018/4/2";"2018/5/1";"2018/5/8";"2018/7/5";"2018/7/6";"2018/09/28";"2018/11/17";"2018/12/24";"2018/12/25";"2018/12/26"})</f>
        <v>250</v>
      </c>
      <c r="T652" s="231">
        <f t="shared" si="54"/>
        <v>115</v>
      </c>
      <c r="U652" s="231">
        <f t="shared" si="55"/>
        <v>365</v>
      </c>
      <c r="V652" s="312">
        <f t="shared" si="56"/>
        <v>0</v>
      </c>
      <c r="W652" s="233">
        <f t="shared" si="57"/>
        <v>0</v>
      </c>
      <c r="X652" s="234">
        <f t="shared" si="58"/>
        <v>0</v>
      </c>
      <c r="Y652" s="234">
        <f t="shared" si="58"/>
        <v>0</v>
      </c>
    </row>
    <row r="653" spans="1:25" ht="15" x14ac:dyDescent="0.2">
      <c r="A653" s="276" t="s">
        <v>767</v>
      </c>
      <c r="B653" s="391" t="s">
        <v>629</v>
      </c>
      <c r="C653" s="391"/>
      <c r="D653" s="139">
        <f>VLOOKUP(C653,'Seznam HS - nemaš'!$A$1:$B$96,2,FALSE)</f>
        <v>0</v>
      </c>
      <c r="E653" s="19" t="s">
        <v>1525</v>
      </c>
      <c r="F653" s="154" t="s">
        <v>53</v>
      </c>
      <c r="G653" s="154"/>
      <c r="H653" s="28">
        <f>+IF(ISBLANK(I653),0,VLOOKUP(I653,'8Příloha_2_ceník_pravid_úklid'!$B$9:$C$30,2,0))</f>
        <v>6</v>
      </c>
      <c r="I653" s="19" t="s">
        <v>1</v>
      </c>
      <c r="J653" s="155">
        <v>20.69</v>
      </c>
      <c r="K653" s="19" t="s">
        <v>50</v>
      </c>
      <c r="L653" s="156" t="s">
        <v>21</v>
      </c>
      <c r="M653" s="22" t="s">
        <v>49</v>
      </c>
      <c r="N653" s="24">
        <f>IF((VLOOKUP(I653,'8Příloha_2_ceník_pravid_úklid'!$B$9:$I$30,8,0))=0,VLOOKUP(I653,'8Příloha_2_ceník_pravid_úklid'!$B$9:$K$30,10,0),VLOOKUP(I653,'8Příloha_2_ceník_pravid_úklid'!$B$9:$I$30,8,0))</f>
        <v>0</v>
      </c>
      <c r="O653" s="20">
        <v>1</v>
      </c>
      <c r="P653" s="20">
        <v>1</v>
      </c>
      <c r="Q653" s="20">
        <v>0</v>
      </c>
      <c r="R653" s="20">
        <v>0</v>
      </c>
      <c r="S653" s="21">
        <f>NETWORKDAYS.INTL(DATE(2018,1,1),DATE(2018,12,31),1,{"2018/1/1";"2018/3/30";"2018/4/2";"2018/5/1";"2018/5/8";"2018/7/5";"2018/7/6";"2018/09/28";"2018/11/17";"2018/12/24";"2018/12/25";"2018/12/26"})</f>
        <v>250</v>
      </c>
      <c r="T653" s="21">
        <f t="shared" si="54"/>
        <v>115</v>
      </c>
      <c r="U653" s="21">
        <f t="shared" si="55"/>
        <v>365</v>
      </c>
      <c r="V653" s="311">
        <f t="shared" si="56"/>
        <v>250</v>
      </c>
      <c r="W653" s="140">
        <f t="shared" si="57"/>
        <v>0</v>
      </c>
      <c r="X653" s="141">
        <f t="shared" si="58"/>
        <v>0</v>
      </c>
      <c r="Y653" s="141">
        <v>0</v>
      </c>
    </row>
    <row r="654" spans="1:25" ht="15" x14ac:dyDescent="0.2">
      <c r="A654" s="235" t="s">
        <v>1467</v>
      </c>
      <c r="B654" s="396" t="s">
        <v>629</v>
      </c>
      <c r="C654" s="396" t="s">
        <v>209</v>
      </c>
      <c r="D654" s="535" t="str">
        <f>VLOOKUP(C654,'Seznam HS - nemaš'!$A$1:$B$96,2,FALSE)</f>
        <v>438100</v>
      </c>
      <c r="E654" s="229" t="s">
        <v>1526</v>
      </c>
      <c r="F654" s="238" t="s">
        <v>389</v>
      </c>
      <c r="G654" s="238"/>
      <c r="H654" s="224">
        <f>+IF(ISBLANK(I654),0,VLOOKUP(I654,'8Příloha_2_ceník_pravid_úklid'!$B$9:$C$30,2,0))</f>
        <v>17</v>
      </c>
      <c r="I654" s="229" t="s">
        <v>13</v>
      </c>
      <c r="J654" s="233">
        <v>8.73</v>
      </c>
      <c r="K654" s="229" t="s">
        <v>51</v>
      </c>
      <c r="L654" s="242" t="s">
        <v>387</v>
      </c>
      <c r="M654" s="237" t="s">
        <v>49</v>
      </c>
      <c r="N654" s="229" t="s">
        <v>501</v>
      </c>
      <c r="O654" s="230">
        <v>0</v>
      </c>
      <c r="P654" s="230">
        <v>0</v>
      </c>
      <c r="Q654" s="230">
        <v>0</v>
      </c>
      <c r="R654" s="230">
        <v>0</v>
      </c>
      <c r="S654" s="231">
        <f>NETWORKDAYS.INTL(DATE(2018,1,1),DATE(2018,12,31),1,{"2018/1/1";"2018/3/30";"2018/4/2";"2018/5/1";"2018/5/8";"2018/7/5";"2018/7/6";"2018/09/28";"2018/11/17";"2018/12/24";"2018/12/25";"2018/12/26"})</f>
        <v>250</v>
      </c>
      <c r="T654" s="231">
        <f t="shared" si="54"/>
        <v>115</v>
      </c>
      <c r="U654" s="231">
        <f t="shared" si="55"/>
        <v>365</v>
      </c>
      <c r="V654" s="312">
        <f t="shared" si="56"/>
        <v>0</v>
      </c>
      <c r="W654" s="233">
        <f t="shared" si="57"/>
        <v>0</v>
      </c>
      <c r="X654" s="234">
        <f t="shared" si="58"/>
        <v>0</v>
      </c>
      <c r="Y654" s="234">
        <f t="shared" si="58"/>
        <v>0</v>
      </c>
    </row>
    <row r="655" spans="1:25" ht="15" x14ac:dyDescent="0.2">
      <c r="A655" s="235" t="s">
        <v>1467</v>
      </c>
      <c r="B655" s="396" t="s">
        <v>629</v>
      </c>
      <c r="C655" s="396" t="s">
        <v>229</v>
      </c>
      <c r="D655" s="535" t="str">
        <f>VLOOKUP(C655,'Seznam HS - nemaš'!$A$1:$B$96,2,FALSE)</f>
        <v>460600</v>
      </c>
      <c r="E655" s="229" t="s">
        <v>1527</v>
      </c>
      <c r="F655" s="238" t="s">
        <v>389</v>
      </c>
      <c r="G655" s="238"/>
      <c r="H655" s="224">
        <f>+IF(ISBLANK(I655),0,VLOOKUP(I655,'8Příloha_2_ceník_pravid_úklid'!$B$9:$C$30,2,0))</f>
        <v>17</v>
      </c>
      <c r="I655" s="229" t="s">
        <v>13</v>
      </c>
      <c r="J655" s="233">
        <v>17.55</v>
      </c>
      <c r="K655" s="229" t="s">
        <v>51</v>
      </c>
      <c r="L655" s="242" t="s">
        <v>387</v>
      </c>
      <c r="M655" s="237" t="s">
        <v>49</v>
      </c>
      <c r="N655" s="229" t="s">
        <v>501</v>
      </c>
      <c r="O655" s="230">
        <v>0</v>
      </c>
      <c r="P655" s="230">
        <v>0</v>
      </c>
      <c r="Q655" s="230">
        <v>0</v>
      </c>
      <c r="R655" s="230">
        <v>0</v>
      </c>
      <c r="S655" s="231">
        <f>NETWORKDAYS.INTL(DATE(2018,1,1),DATE(2018,12,31),1,{"2018/1/1";"2018/3/30";"2018/4/2";"2018/5/1";"2018/5/8";"2018/7/5";"2018/7/6";"2018/09/28";"2018/11/17";"2018/12/24";"2018/12/25";"2018/12/26"})</f>
        <v>250</v>
      </c>
      <c r="T655" s="231">
        <f t="shared" si="54"/>
        <v>115</v>
      </c>
      <c r="U655" s="231">
        <f t="shared" si="55"/>
        <v>365</v>
      </c>
      <c r="V655" s="312">
        <f t="shared" si="56"/>
        <v>0</v>
      </c>
      <c r="W655" s="233">
        <f t="shared" si="57"/>
        <v>0</v>
      </c>
      <c r="X655" s="234">
        <f t="shared" si="58"/>
        <v>0</v>
      </c>
      <c r="Y655" s="234">
        <f t="shared" si="58"/>
        <v>0</v>
      </c>
    </row>
    <row r="656" spans="1:25" ht="15" x14ac:dyDescent="0.2">
      <c r="A656" s="235" t="s">
        <v>762</v>
      </c>
      <c r="B656" s="396" t="s">
        <v>629</v>
      </c>
      <c r="C656" s="396"/>
      <c r="D656" s="535">
        <f>VLOOKUP(C656,'Seznam HS - nemaš'!$A$1:$B$96,2,FALSE)</f>
        <v>0</v>
      </c>
      <c r="E656" s="229" t="s">
        <v>1528</v>
      </c>
      <c r="F656" s="238" t="s">
        <v>1529</v>
      </c>
      <c r="G656" s="238" t="s">
        <v>1403</v>
      </c>
      <c r="H656" s="224">
        <f>+IF(ISBLANK(I656),0,VLOOKUP(I656,'8Příloha_2_ceník_pravid_úklid'!$B$9:$C$30,2,0))</f>
        <v>0</v>
      </c>
      <c r="I656" s="229"/>
      <c r="J656" s="233">
        <v>4.12</v>
      </c>
      <c r="K656" s="229"/>
      <c r="L656" s="242" t="s">
        <v>387</v>
      </c>
      <c r="M656" s="237"/>
      <c r="N656" s="229" t="s">
        <v>501</v>
      </c>
      <c r="O656" s="230">
        <v>0</v>
      </c>
      <c r="P656" s="230">
        <v>0</v>
      </c>
      <c r="Q656" s="230">
        <v>0</v>
      </c>
      <c r="R656" s="230">
        <v>0</v>
      </c>
      <c r="S656" s="231">
        <f>NETWORKDAYS.INTL(DATE(2018,1,1),DATE(2018,12,31),1,{"2018/1/1";"2018/3/30";"2018/4/2";"2018/5/1";"2018/5/8";"2018/7/5";"2018/7/6";"2018/09/28";"2018/11/17";"2018/12/24";"2018/12/25";"2018/12/26"})</f>
        <v>250</v>
      </c>
      <c r="T656" s="231">
        <f t="shared" si="54"/>
        <v>115</v>
      </c>
      <c r="U656" s="231">
        <f t="shared" si="55"/>
        <v>365</v>
      </c>
      <c r="V656" s="312">
        <f t="shared" si="56"/>
        <v>0</v>
      </c>
      <c r="W656" s="233">
        <f t="shared" si="57"/>
        <v>0</v>
      </c>
      <c r="X656" s="234">
        <f t="shared" si="58"/>
        <v>0</v>
      </c>
      <c r="Y656" s="234">
        <f t="shared" si="58"/>
        <v>0</v>
      </c>
    </row>
    <row r="657" spans="1:25" ht="15" x14ac:dyDescent="0.2">
      <c r="A657" s="276" t="s">
        <v>767</v>
      </c>
      <c r="B657" s="391" t="s">
        <v>629</v>
      </c>
      <c r="C657" s="391"/>
      <c r="D657" s="139">
        <f>VLOOKUP(C657,'Seznam HS - nemaš'!$A$1:$B$96,2,FALSE)</f>
        <v>0</v>
      </c>
      <c r="E657" s="19" t="s">
        <v>1530</v>
      </c>
      <c r="F657" s="154" t="s">
        <v>53</v>
      </c>
      <c r="G657" s="154"/>
      <c r="H657" s="28">
        <f>+IF(ISBLANK(I657),0,VLOOKUP(I657,'8Příloha_2_ceník_pravid_úklid'!$B$9:$C$30,2,0))</f>
        <v>6</v>
      </c>
      <c r="I657" s="19" t="s">
        <v>1</v>
      </c>
      <c r="J657" s="155">
        <v>31.63</v>
      </c>
      <c r="K657" s="19" t="s">
        <v>50</v>
      </c>
      <c r="L657" s="156" t="s">
        <v>21</v>
      </c>
      <c r="M657" s="22" t="s">
        <v>49</v>
      </c>
      <c r="N657" s="24">
        <f>IF((VLOOKUP(I657,'8Příloha_2_ceník_pravid_úklid'!$B$9:$I$30,8,0))=0,VLOOKUP(I657,'8Příloha_2_ceník_pravid_úklid'!$B$9:$K$30,10,0),VLOOKUP(I657,'8Příloha_2_ceník_pravid_úklid'!$B$9:$I$30,8,0))</f>
        <v>0</v>
      </c>
      <c r="O657" s="20">
        <v>1</v>
      </c>
      <c r="P657" s="20">
        <v>1</v>
      </c>
      <c r="Q657" s="20">
        <v>0</v>
      </c>
      <c r="R657" s="20">
        <v>0</v>
      </c>
      <c r="S657" s="21">
        <f>NETWORKDAYS.INTL(DATE(2018,1,1),DATE(2018,12,31),1,{"2018/1/1";"2018/3/30";"2018/4/2";"2018/5/1";"2018/5/8";"2018/7/5";"2018/7/6";"2018/09/28";"2018/11/17";"2018/12/24";"2018/12/25";"2018/12/26"})</f>
        <v>250</v>
      </c>
      <c r="T657" s="21">
        <f t="shared" si="54"/>
        <v>115</v>
      </c>
      <c r="U657" s="21">
        <f t="shared" si="55"/>
        <v>365</v>
      </c>
      <c r="V657" s="311">
        <f t="shared" si="56"/>
        <v>250</v>
      </c>
      <c r="W657" s="140">
        <f t="shared" si="57"/>
        <v>0</v>
      </c>
      <c r="X657" s="141">
        <f t="shared" si="58"/>
        <v>0</v>
      </c>
      <c r="Y657" s="141">
        <v>0</v>
      </c>
    </row>
    <row r="658" spans="1:25" ht="15" x14ac:dyDescent="0.2">
      <c r="A658" s="276" t="s">
        <v>767</v>
      </c>
      <c r="B658" s="391" t="s">
        <v>629</v>
      </c>
      <c r="C658" s="391"/>
      <c r="D658" s="139">
        <f>VLOOKUP(C658,'Seznam HS - nemaš'!$A$1:$B$96,2,FALSE)</f>
        <v>0</v>
      </c>
      <c r="E658" s="19" t="s">
        <v>1531</v>
      </c>
      <c r="F658" s="154" t="s">
        <v>1090</v>
      </c>
      <c r="G658" s="154" t="s">
        <v>539</v>
      </c>
      <c r="H658" s="28">
        <f>+IF(ISBLANK(I658),0,VLOOKUP(I658,'8Příloha_2_ceník_pravid_úklid'!$B$9:$C$30,2,0))</f>
        <v>7</v>
      </c>
      <c r="I658" s="19" t="s">
        <v>14</v>
      </c>
      <c r="J658" s="155">
        <v>4.16</v>
      </c>
      <c r="K658" s="19" t="s">
        <v>50</v>
      </c>
      <c r="L658" s="156" t="s">
        <v>21</v>
      </c>
      <c r="M658" s="22" t="s">
        <v>49</v>
      </c>
      <c r="N658" s="24">
        <f>IF((VLOOKUP(I658,'8Příloha_2_ceník_pravid_úklid'!$B$9:$I$30,8,0))=0,VLOOKUP(I658,'8Příloha_2_ceník_pravid_úklid'!$B$9:$K$30,10,0),VLOOKUP(I658,'8Příloha_2_ceník_pravid_úklid'!$B$9:$I$30,8,0))</f>
        <v>0</v>
      </c>
      <c r="O658" s="20">
        <v>1</v>
      </c>
      <c r="P658" s="20">
        <v>1</v>
      </c>
      <c r="Q658" s="20">
        <v>0</v>
      </c>
      <c r="R658" s="20">
        <v>0</v>
      </c>
      <c r="S658" s="21">
        <f>NETWORKDAYS.INTL(DATE(2018,1,1),DATE(2018,12,31),1,{"2018/1/1";"2018/3/30";"2018/4/2";"2018/5/1";"2018/5/8";"2018/7/5";"2018/7/6";"2018/09/28";"2018/11/17";"2018/12/24";"2018/12/25";"2018/12/26"})</f>
        <v>250</v>
      </c>
      <c r="T658" s="21">
        <f t="shared" si="54"/>
        <v>115</v>
      </c>
      <c r="U658" s="21">
        <f t="shared" si="55"/>
        <v>365</v>
      </c>
      <c r="V658" s="311">
        <f t="shared" si="56"/>
        <v>250</v>
      </c>
      <c r="W658" s="140">
        <f t="shared" si="57"/>
        <v>0</v>
      </c>
      <c r="X658" s="141">
        <f t="shared" si="58"/>
        <v>0</v>
      </c>
      <c r="Y658" s="141">
        <v>0</v>
      </c>
    </row>
    <row r="659" spans="1:25" ht="15" x14ac:dyDescent="0.2">
      <c r="A659" s="276" t="s">
        <v>767</v>
      </c>
      <c r="B659" s="391" t="s">
        <v>629</v>
      </c>
      <c r="C659" s="391"/>
      <c r="D659" s="139">
        <f>VLOOKUP(C659,'Seznam HS - nemaš'!$A$1:$B$96,2,FALSE)</f>
        <v>0</v>
      </c>
      <c r="E659" s="19" t="s">
        <v>1532</v>
      </c>
      <c r="F659" s="154" t="s">
        <v>1090</v>
      </c>
      <c r="G659" s="154" t="s">
        <v>540</v>
      </c>
      <c r="H659" s="28">
        <f>+IF(ISBLANK(I659),0,VLOOKUP(I659,'8Příloha_2_ceník_pravid_úklid'!$B$9:$C$30,2,0))</f>
        <v>7</v>
      </c>
      <c r="I659" s="19" t="s">
        <v>14</v>
      </c>
      <c r="J659" s="155">
        <v>4.16</v>
      </c>
      <c r="K659" s="19" t="s">
        <v>50</v>
      </c>
      <c r="L659" s="156" t="s">
        <v>21</v>
      </c>
      <c r="M659" s="22" t="s">
        <v>49</v>
      </c>
      <c r="N659" s="24">
        <f>IF((VLOOKUP(I659,'8Příloha_2_ceník_pravid_úklid'!$B$9:$I$30,8,0))=0,VLOOKUP(I659,'8Příloha_2_ceník_pravid_úklid'!$B$9:$K$30,10,0),VLOOKUP(I659,'8Příloha_2_ceník_pravid_úklid'!$B$9:$I$30,8,0))</f>
        <v>0</v>
      </c>
      <c r="O659" s="20">
        <v>1</v>
      </c>
      <c r="P659" s="20">
        <v>1</v>
      </c>
      <c r="Q659" s="20">
        <v>0</v>
      </c>
      <c r="R659" s="20">
        <v>0</v>
      </c>
      <c r="S659" s="21">
        <f>NETWORKDAYS.INTL(DATE(2018,1,1),DATE(2018,12,31),1,{"2018/1/1";"2018/3/30";"2018/4/2";"2018/5/1";"2018/5/8";"2018/7/5";"2018/7/6";"2018/09/28";"2018/11/17";"2018/12/24";"2018/12/25";"2018/12/26"})</f>
        <v>250</v>
      </c>
      <c r="T659" s="21">
        <f t="shared" si="54"/>
        <v>115</v>
      </c>
      <c r="U659" s="21">
        <f t="shared" si="55"/>
        <v>365</v>
      </c>
      <c r="V659" s="311">
        <f t="shared" si="56"/>
        <v>250</v>
      </c>
      <c r="W659" s="140">
        <f t="shared" si="57"/>
        <v>0</v>
      </c>
      <c r="X659" s="141">
        <f t="shared" si="58"/>
        <v>0</v>
      </c>
      <c r="Y659" s="141">
        <v>0</v>
      </c>
    </row>
    <row r="660" spans="1:25" ht="15" x14ac:dyDescent="0.2">
      <c r="A660" s="235" t="s">
        <v>1467</v>
      </c>
      <c r="B660" s="396" t="s">
        <v>629</v>
      </c>
      <c r="C660" s="396" t="s">
        <v>229</v>
      </c>
      <c r="D660" s="535" t="str">
        <f>VLOOKUP(C660,'Seznam HS - nemaš'!$A$1:$B$96,2,FALSE)</f>
        <v>460600</v>
      </c>
      <c r="E660" s="229" t="s">
        <v>1533</v>
      </c>
      <c r="F660" s="238" t="s">
        <v>389</v>
      </c>
      <c r="G660" s="238"/>
      <c r="H660" s="224">
        <f>+IF(ISBLANK(I660),0,VLOOKUP(I660,'8Příloha_2_ceník_pravid_úklid'!$B$9:$C$30,2,0))</f>
        <v>17</v>
      </c>
      <c r="I660" s="229" t="s">
        <v>13</v>
      </c>
      <c r="J660" s="233">
        <v>9.94</v>
      </c>
      <c r="K660" s="229" t="s">
        <v>51</v>
      </c>
      <c r="L660" s="310" t="s">
        <v>387</v>
      </c>
      <c r="M660" s="237" t="s">
        <v>49</v>
      </c>
      <c r="N660" s="229" t="s">
        <v>501</v>
      </c>
      <c r="O660" s="230">
        <v>0</v>
      </c>
      <c r="P660" s="230">
        <v>0</v>
      </c>
      <c r="Q660" s="230">
        <v>0</v>
      </c>
      <c r="R660" s="230">
        <v>0</v>
      </c>
      <c r="S660" s="231">
        <f>NETWORKDAYS.INTL(DATE(2018,1,1),DATE(2018,12,31),1,{"2018/1/1";"2018/3/30";"2018/4/2";"2018/5/1";"2018/5/8";"2018/7/5";"2018/7/6";"2018/09/28";"2018/11/17";"2018/12/24";"2018/12/25";"2018/12/26"})</f>
        <v>250</v>
      </c>
      <c r="T660" s="231">
        <f t="shared" si="54"/>
        <v>115</v>
      </c>
      <c r="U660" s="231">
        <f t="shared" si="55"/>
        <v>365</v>
      </c>
      <c r="V660" s="312">
        <f t="shared" si="56"/>
        <v>0</v>
      </c>
      <c r="W660" s="233">
        <f t="shared" si="57"/>
        <v>0</v>
      </c>
      <c r="X660" s="234">
        <f t="shared" si="58"/>
        <v>0</v>
      </c>
      <c r="Y660" s="234">
        <f t="shared" si="58"/>
        <v>0</v>
      </c>
    </row>
    <row r="661" spans="1:25" ht="15" x14ac:dyDescent="0.2">
      <c r="A661" s="276" t="s">
        <v>767</v>
      </c>
      <c r="B661" s="391" t="s">
        <v>629</v>
      </c>
      <c r="C661" s="391"/>
      <c r="D661" s="139">
        <f>VLOOKUP(C661,'Seznam HS - nemaš'!$A$1:$B$96,2,FALSE)</f>
        <v>0</v>
      </c>
      <c r="E661" s="19" t="s">
        <v>1534</v>
      </c>
      <c r="F661" s="154" t="s">
        <v>552</v>
      </c>
      <c r="G661" s="154"/>
      <c r="H661" s="28">
        <f>+IF(ISBLANK(I661),0,VLOOKUP(I661,'8Příloha_2_ceník_pravid_úklid'!$B$9:$C$30,2,0))</f>
        <v>16</v>
      </c>
      <c r="I661" s="19" t="s">
        <v>6</v>
      </c>
      <c r="J661" s="155">
        <v>9.94</v>
      </c>
      <c r="K661" s="19" t="s">
        <v>51</v>
      </c>
      <c r="L661" s="156" t="s">
        <v>21</v>
      </c>
      <c r="M661" s="22" t="s">
        <v>49</v>
      </c>
      <c r="N661" s="24">
        <f>IF((VLOOKUP(I661,'8Příloha_2_ceník_pravid_úklid'!$B$9:$I$30,8,0))=0,VLOOKUP(I661,'8Příloha_2_ceník_pravid_úklid'!$B$9:$K$30,10,0),VLOOKUP(I661,'8Příloha_2_ceník_pravid_úklid'!$B$9:$I$30,8,0))</f>
        <v>0</v>
      </c>
      <c r="O661" s="20">
        <v>1</v>
      </c>
      <c r="P661" s="20">
        <v>1</v>
      </c>
      <c r="Q661" s="20">
        <v>0</v>
      </c>
      <c r="R661" s="20">
        <v>0</v>
      </c>
      <c r="S661" s="21">
        <f>NETWORKDAYS.INTL(DATE(2018,1,1),DATE(2018,12,31),1,{"2018/1/1";"2018/3/30";"2018/4/2";"2018/5/1";"2018/5/8";"2018/7/5";"2018/7/6";"2018/09/28";"2018/11/17";"2018/12/24";"2018/12/25";"2018/12/26"})</f>
        <v>250</v>
      </c>
      <c r="T661" s="21">
        <f t="shared" si="54"/>
        <v>115</v>
      </c>
      <c r="U661" s="21">
        <f t="shared" si="55"/>
        <v>365</v>
      </c>
      <c r="V661" s="311">
        <f t="shared" si="56"/>
        <v>250</v>
      </c>
      <c r="W661" s="140">
        <f t="shared" si="57"/>
        <v>0</v>
      </c>
      <c r="X661" s="141">
        <f t="shared" si="58"/>
        <v>0</v>
      </c>
      <c r="Y661" s="141">
        <v>0</v>
      </c>
    </row>
    <row r="662" spans="1:25" ht="15" x14ac:dyDescent="0.2">
      <c r="A662" s="235" t="s">
        <v>1453</v>
      </c>
      <c r="B662" s="396" t="s">
        <v>629</v>
      </c>
      <c r="C662" s="396"/>
      <c r="D662" s="535">
        <f>VLOOKUP(C662,'Seznam HS - nemaš'!$A$1:$B$96,2,FALSE)</f>
        <v>0</v>
      </c>
      <c r="E662" s="229" t="s">
        <v>1535</v>
      </c>
      <c r="F662" s="238" t="s">
        <v>505</v>
      </c>
      <c r="G662" s="238" t="s">
        <v>663</v>
      </c>
      <c r="H662" s="224">
        <f>+IF(ISBLANK(I662),0,VLOOKUP(I662,'8Příloha_2_ceník_pravid_úklid'!$B$9:$C$30,2,0))</f>
        <v>0</v>
      </c>
      <c r="I662" s="229"/>
      <c r="J662" s="233">
        <v>83.41</v>
      </c>
      <c r="K662" s="229" t="s">
        <v>337</v>
      </c>
      <c r="L662" s="242" t="s">
        <v>387</v>
      </c>
      <c r="M662" s="237"/>
      <c r="N662" s="229" t="s">
        <v>501</v>
      </c>
      <c r="O662" s="230">
        <v>0</v>
      </c>
      <c r="P662" s="230">
        <v>0</v>
      </c>
      <c r="Q662" s="230">
        <v>0</v>
      </c>
      <c r="R662" s="230">
        <v>0</v>
      </c>
      <c r="S662" s="231">
        <f>NETWORKDAYS.INTL(DATE(2018,1,1),DATE(2018,12,31),1,{"2018/1/1";"2018/3/30";"2018/4/2";"2018/5/1";"2018/5/8";"2018/7/5";"2018/7/6";"2018/09/28";"2018/11/17";"2018/12/24";"2018/12/25";"2018/12/26"})</f>
        <v>250</v>
      </c>
      <c r="T662" s="231">
        <f t="shared" si="54"/>
        <v>115</v>
      </c>
      <c r="U662" s="231">
        <f t="shared" si="55"/>
        <v>365</v>
      </c>
      <c r="V662" s="312">
        <f t="shared" si="56"/>
        <v>0</v>
      </c>
      <c r="W662" s="233">
        <f t="shared" si="57"/>
        <v>0</v>
      </c>
      <c r="X662" s="234">
        <f t="shared" si="58"/>
        <v>0</v>
      </c>
      <c r="Y662" s="234">
        <f t="shared" si="58"/>
        <v>0</v>
      </c>
    </row>
    <row r="663" spans="1:25" ht="15" x14ac:dyDescent="0.2">
      <c r="A663" s="276" t="s">
        <v>1463</v>
      </c>
      <c r="B663" s="391" t="s">
        <v>629</v>
      </c>
      <c r="C663" s="391" t="s">
        <v>229</v>
      </c>
      <c r="D663" s="139" t="str">
        <f>VLOOKUP(C663,'Seznam HS - nemaš'!$A$1:$B$96,2,FALSE)</f>
        <v>460600</v>
      </c>
      <c r="E663" s="19" t="s">
        <v>1536</v>
      </c>
      <c r="F663" s="154" t="s">
        <v>329</v>
      </c>
      <c r="G663" s="154" t="s">
        <v>1465</v>
      </c>
      <c r="H663" s="28">
        <f>+IF(ISBLANK(I663),0,VLOOKUP(I663,'8Příloha_2_ceník_pravid_úklid'!$B$9:$C$30,2,0))</f>
        <v>4</v>
      </c>
      <c r="I663" s="19" t="s">
        <v>9</v>
      </c>
      <c r="J663" s="155">
        <v>13.44</v>
      </c>
      <c r="K663" s="19" t="s">
        <v>52</v>
      </c>
      <c r="L663" s="156" t="s">
        <v>637</v>
      </c>
      <c r="M663" s="22" t="s">
        <v>49</v>
      </c>
      <c r="N663" s="24">
        <f>IF((VLOOKUP(I663,'8Příloha_2_ceník_pravid_úklid'!$B$9:$I$30,8,0))=0,VLOOKUP(I663,'8Příloha_2_ceník_pravid_úklid'!$B$9:$K$30,10,0),VLOOKUP(I663,'8Příloha_2_ceník_pravid_úklid'!$B$9:$I$30,8,0))</f>
        <v>0</v>
      </c>
      <c r="O663" s="20">
        <v>1</v>
      </c>
      <c r="P663" s="20">
        <f>2/5</f>
        <v>0.4</v>
      </c>
      <c r="Q663" s="20">
        <v>0</v>
      </c>
      <c r="R663" s="20">
        <v>0</v>
      </c>
      <c r="S663" s="21">
        <f>NETWORKDAYS.INTL(DATE(2018,1,1),DATE(2018,12,31),1,{"2018/1/1";"2018/3/30";"2018/4/2";"2018/5/1";"2018/5/8";"2018/7/5";"2018/7/6";"2018/09/28";"2018/11/17";"2018/12/24";"2018/12/25";"2018/12/26"})</f>
        <v>250</v>
      </c>
      <c r="T663" s="21">
        <f t="shared" si="54"/>
        <v>115</v>
      </c>
      <c r="U663" s="21">
        <f t="shared" si="55"/>
        <v>365</v>
      </c>
      <c r="V663" s="311">
        <f t="shared" si="56"/>
        <v>100</v>
      </c>
      <c r="W663" s="140">
        <f t="shared" si="57"/>
        <v>0</v>
      </c>
      <c r="X663" s="141">
        <f t="shared" si="58"/>
        <v>0</v>
      </c>
      <c r="Y663" s="141">
        <v>0</v>
      </c>
    </row>
    <row r="664" spans="1:25" ht="15" x14ac:dyDescent="0.2">
      <c r="A664" s="276" t="s">
        <v>1463</v>
      </c>
      <c r="B664" s="391" t="s">
        <v>629</v>
      </c>
      <c r="C664" s="391" t="s">
        <v>209</v>
      </c>
      <c r="D664" s="139" t="str">
        <f>VLOOKUP(C664,'Seznam HS - nemaš'!$A$1:$B$96,2,FALSE)</f>
        <v>438100</v>
      </c>
      <c r="E664" s="19" t="s">
        <v>1537</v>
      </c>
      <c r="F664" s="154" t="s">
        <v>329</v>
      </c>
      <c r="G664" s="154" t="s">
        <v>1465</v>
      </c>
      <c r="H664" s="28">
        <f>+IF(ISBLANK(I664),0,VLOOKUP(I664,'8Příloha_2_ceník_pravid_úklid'!$B$9:$C$30,2,0))</f>
        <v>4</v>
      </c>
      <c r="I664" s="19" t="s">
        <v>9</v>
      </c>
      <c r="J664" s="155">
        <v>13.44</v>
      </c>
      <c r="K664" s="19" t="s">
        <v>52</v>
      </c>
      <c r="L664" s="156" t="s">
        <v>637</v>
      </c>
      <c r="M664" s="22" t="s">
        <v>49</v>
      </c>
      <c r="N664" s="24">
        <f>IF((VLOOKUP(I664,'8Příloha_2_ceník_pravid_úklid'!$B$9:$I$30,8,0))=0,VLOOKUP(I664,'8Příloha_2_ceník_pravid_úklid'!$B$9:$K$30,10,0),VLOOKUP(I664,'8Příloha_2_ceník_pravid_úklid'!$B$9:$I$30,8,0))</f>
        <v>0</v>
      </c>
      <c r="O664" s="20">
        <v>1</v>
      </c>
      <c r="P664" s="20">
        <f>2/5</f>
        <v>0.4</v>
      </c>
      <c r="Q664" s="20">
        <v>0</v>
      </c>
      <c r="R664" s="20">
        <v>0</v>
      </c>
      <c r="S664" s="21">
        <f>NETWORKDAYS.INTL(DATE(2018,1,1),DATE(2018,12,31),1,{"2018/1/1";"2018/3/30";"2018/4/2";"2018/5/1";"2018/5/8";"2018/7/5";"2018/7/6";"2018/09/28";"2018/11/17";"2018/12/24";"2018/12/25";"2018/12/26"})</f>
        <v>250</v>
      </c>
      <c r="T664" s="21">
        <f t="shared" si="54"/>
        <v>115</v>
      </c>
      <c r="U664" s="21">
        <f t="shared" si="55"/>
        <v>365</v>
      </c>
      <c r="V664" s="311">
        <f t="shared" si="56"/>
        <v>100</v>
      </c>
      <c r="W664" s="140">
        <f t="shared" si="57"/>
        <v>0</v>
      </c>
      <c r="X664" s="141">
        <f t="shared" si="58"/>
        <v>0</v>
      </c>
      <c r="Y664" s="141">
        <v>0</v>
      </c>
    </row>
    <row r="665" spans="1:25" ht="15" x14ac:dyDescent="0.2">
      <c r="A665" s="276" t="s">
        <v>1463</v>
      </c>
      <c r="B665" s="391" t="s">
        <v>629</v>
      </c>
      <c r="C665" s="391" t="s">
        <v>209</v>
      </c>
      <c r="D665" s="139" t="str">
        <f>VLOOKUP(C665,'Seznam HS - nemaš'!$A$1:$B$96,2,FALSE)</f>
        <v>438100</v>
      </c>
      <c r="E665" s="19" t="s">
        <v>1538</v>
      </c>
      <c r="F665" s="154" t="s">
        <v>329</v>
      </c>
      <c r="G665" s="154" t="s">
        <v>1465</v>
      </c>
      <c r="H665" s="28">
        <f>+IF(ISBLANK(I665),0,VLOOKUP(I665,'8Příloha_2_ceník_pravid_úklid'!$B$9:$C$30,2,0))</f>
        <v>4</v>
      </c>
      <c r="I665" s="19" t="s">
        <v>9</v>
      </c>
      <c r="J665" s="155">
        <v>27.6</v>
      </c>
      <c r="K665" s="19" t="s">
        <v>52</v>
      </c>
      <c r="L665" s="156" t="s">
        <v>637</v>
      </c>
      <c r="M665" s="22" t="s">
        <v>49</v>
      </c>
      <c r="N665" s="24">
        <f>IF((VLOOKUP(I665,'8Příloha_2_ceník_pravid_úklid'!$B$9:$I$30,8,0))=0,VLOOKUP(I665,'8Příloha_2_ceník_pravid_úklid'!$B$9:$K$30,10,0),VLOOKUP(I665,'8Příloha_2_ceník_pravid_úklid'!$B$9:$I$30,8,0))</f>
        <v>0</v>
      </c>
      <c r="O665" s="20">
        <v>1</v>
      </c>
      <c r="P665" s="20">
        <f>2/5</f>
        <v>0.4</v>
      </c>
      <c r="Q665" s="20">
        <v>0</v>
      </c>
      <c r="R665" s="20">
        <v>0</v>
      </c>
      <c r="S665" s="21">
        <f>NETWORKDAYS.INTL(DATE(2018,1,1),DATE(2018,12,31),1,{"2018/1/1";"2018/3/30";"2018/4/2";"2018/5/1";"2018/5/8";"2018/7/5";"2018/7/6";"2018/09/28";"2018/11/17";"2018/12/24";"2018/12/25";"2018/12/26"})</f>
        <v>250</v>
      </c>
      <c r="T665" s="21">
        <f t="shared" si="54"/>
        <v>115</v>
      </c>
      <c r="U665" s="21">
        <f t="shared" si="55"/>
        <v>365</v>
      </c>
      <c r="V665" s="311">
        <f t="shared" si="56"/>
        <v>100</v>
      </c>
      <c r="W665" s="140">
        <f t="shared" si="57"/>
        <v>0</v>
      </c>
      <c r="X665" s="141">
        <f t="shared" si="58"/>
        <v>0</v>
      </c>
      <c r="Y665" s="141">
        <v>0</v>
      </c>
    </row>
    <row r="666" spans="1:25" ht="15" x14ac:dyDescent="0.2">
      <c r="A666" s="235" t="s">
        <v>1463</v>
      </c>
      <c r="B666" s="396" t="s">
        <v>629</v>
      </c>
      <c r="C666" s="396"/>
      <c r="D666" s="535">
        <f>VLOOKUP(C666,'Seznam HS - nemaš'!$A$1:$B$96,2,FALSE)</f>
        <v>0</v>
      </c>
      <c r="E666" s="229" t="s">
        <v>1539</v>
      </c>
      <c r="F666" s="238" t="s">
        <v>398</v>
      </c>
      <c r="G666" s="238"/>
      <c r="H666" s="224">
        <f>+IF(ISBLANK(I666),0,VLOOKUP(I666,'8Příloha_2_ceník_pravid_úklid'!$B$9:$C$30,2,0))</f>
        <v>0</v>
      </c>
      <c r="I666" s="229"/>
      <c r="J666" s="233"/>
      <c r="K666" s="229"/>
      <c r="L666" s="242" t="s">
        <v>387</v>
      </c>
      <c r="M666" s="237"/>
      <c r="N666" s="229" t="s">
        <v>501</v>
      </c>
      <c r="O666" s="230">
        <v>0</v>
      </c>
      <c r="P666" s="230">
        <v>0</v>
      </c>
      <c r="Q666" s="230">
        <v>0</v>
      </c>
      <c r="R666" s="230">
        <v>0</v>
      </c>
      <c r="S666" s="231">
        <f>NETWORKDAYS.INTL(DATE(2018,1,1),DATE(2018,12,31),1,{"2018/1/1";"2018/3/30";"2018/4/2";"2018/5/1";"2018/5/8";"2018/7/5";"2018/7/6";"2018/09/28";"2018/11/17";"2018/12/24";"2018/12/25";"2018/12/26"})</f>
        <v>250</v>
      </c>
      <c r="T666" s="231">
        <f t="shared" si="54"/>
        <v>115</v>
      </c>
      <c r="U666" s="231">
        <f t="shared" si="55"/>
        <v>365</v>
      </c>
      <c r="V666" s="312">
        <f t="shared" si="56"/>
        <v>0</v>
      </c>
      <c r="W666" s="233">
        <f t="shared" si="57"/>
        <v>0</v>
      </c>
      <c r="X666" s="234">
        <f t="shared" si="58"/>
        <v>0</v>
      </c>
      <c r="Y666" s="234">
        <f t="shared" si="58"/>
        <v>0</v>
      </c>
    </row>
    <row r="667" spans="1:25" ht="15" x14ac:dyDescent="0.2">
      <c r="A667" s="276" t="s">
        <v>1463</v>
      </c>
      <c r="B667" s="391" t="s">
        <v>629</v>
      </c>
      <c r="C667" s="391" t="s">
        <v>209</v>
      </c>
      <c r="D667" s="139" t="str">
        <f>VLOOKUP(C667,'Seznam HS - nemaš'!$A$1:$B$96,2,FALSE)</f>
        <v>438100</v>
      </c>
      <c r="E667" s="19" t="s">
        <v>1540</v>
      </c>
      <c r="F667" s="154" t="s">
        <v>329</v>
      </c>
      <c r="G667" s="154" t="s">
        <v>1465</v>
      </c>
      <c r="H667" s="28">
        <f>+IF(ISBLANK(I667),0,VLOOKUP(I667,'8Příloha_2_ceník_pravid_úklid'!$B$9:$C$30,2,0))</f>
        <v>4</v>
      </c>
      <c r="I667" s="19" t="s">
        <v>9</v>
      </c>
      <c r="J667" s="155">
        <v>13.44</v>
      </c>
      <c r="K667" s="19" t="s">
        <v>52</v>
      </c>
      <c r="L667" s="156" t="s">
        <v>637</v>
      </c>
      <c r="M667" s="22" t="s">
        <v>49</v>
      </c>
      <c r="N667" s="24">
        <f>IF((VLOOKUP(I667,'8Příloha_2_ceník_pravid_úklid'!$B$9:$I$30,8,0))=0,VLOOKUP(I667,'8Příloha_2_ceník_pravid_úklid'!$B$9:$K$30,10,0),VLOOKUP(I667,'8Příloha_2_ceník_pravid_úklid'!$B$9:$I$30,8,0))</f>
        <v>0</v>
      </c>
      <c r="O667" s="20">
        <v>1</v>
      </c>
      <c r="P667" s="20">
        <f>2/5</f>
        <v>0.4</v>
      </c>
      <c r="Q667" s="20">
        <v>0</v>
      </c>
      <c r="R667" s="20">
        <v>0</v>
      </c>
      <c r="S667" s="21">
        <f>NETWORKDAYS.INTL(DATE(2018,1,1),DATE(2018,12,31),1,{"2018/1/1";"2018/3/30";"2018/4/2";"2018/5/1";"2018/5/8";"2018/7/5";"2018/7/6";"2018/09/28";"2018/11/17";"2018/12/24";"2018/12/25";"2018/12/26"})</f>
        <v>250</v>
      </c>
      <c r="T667" s="21">
        <f t="shared" si="54"/>
        <v>115</v>
      </c>
      <c r="U667" s="21">
        <f t="shared" si="55"/>
        <v>365</v>
      </c>
      <c r="V667" s="311">
        <f t="shared" si="56"/>
        <v>100</v>
      </c>
      <c r="W667" s="140">
        <f t="shared" si="57"/>
        <v>0</v>
      </c>
      <c r="X667" s="141">
        <f t="shared" si="58"/>
        <v>0</v>
      </c>
      <c r="Y667" s="141">
        <v>0</v>
      </c>
    </row>
    <row r="668" spans="1:25" ht="15" x14ac:dyDescent="0.2">
      <c r="A668" s="276" t="s">
        <v>767</v>
      </c>
      <c r="B668" s="391" t="s">
        <v>629</v>
      </c>
      <c r="C668" s="391"/>
      <c r="D668" s="139">
        <f>VLOOKUP(C668,'Seznam HS - nemaš'!$A$1:$B$96,2,FALSE)</f>
        <v>0</v>
      </c>
      <c r="E668" s="19" t="s">
        <v>1541</v>
      </c>
      <c r="F668" s="154" t="s">
        <v>53</v>
      </c>
      <c r="G668" s="154"/>
      <c r="H668" s="28">
        <f>+IF(ISBLANK(I668),0,VLOOKUP(I668,'8Příloha_2_ceník_pravid_úklid'!$B$9:$C$30,2,0))</f>
        <v>6</v>
      </c>
      <c r="I668" s="19" t="s">
        <v>1</v>
      </c>
      <c r="J668" s="155">
        <v>19.260000000000002</v>
      </c>
      <c r="K668" s="19" t="s">
        <v>50</v>
      </c>
      <c r="L668" s="156" t="s">
        <v>21</v>
      </c>
      <c r="M668" s="22" t="s">
        <v>49</v>
      </c>
      <c r="N668" s="24">
        <f>IF((VLOOKUP(I668,'8Příloha_2_ceník_pravid_úklid'!$B$9:$I$30,8,0))=0,VLOOKUP(I668,'8Příloha_2_ceník_pravid_úklid'!$B$9:$K$30,10,0),VLOOKUP(I668,'8Příloha_2_ceník_pravid_úklid'!$B$9:$I$30,8,0))</f>
        <v>0</v>
      </c>
      <c r="O668" s="20">
        <v>1</v>
      </c>
      <c r="P668" s="20">
        <v>1</v>
      </c>
      <c r="Q668" s="20">
        <v>0</v>
      </c>
      <c r="R668" s="20">
        <v>0</v>
      </c>
      <c r="S668" s="21">
        <f>NETWORKDAYS.INTL(DATE(2018,1,1),DATE(2018,12,31),1,{"2018/1/1";"2018/3/30";"2018/4/2";"2018/5/1";"2018/5/8";"2018/7/5";"2018/7/6";"2018/09/28";"2018/11/17";"2018/12/24";"2018/12/25";"2018/12/26"})</f>
        <v>250</v>
      </c>
      <c r="T668" s="21">
        <f t="shared" si="54"/>
        <v>115</v>
      </c>
      <c r="U668" s="21">
        <f t="shared" si="55"/>
        <v>365</v>
      </c>
      <c r="V668" s="311">
        <f t="shared" si="56"/>
        <v>250</v>
      </c>
      <c r="W668" s="140">
        <f t="shared" si="57"/>
        <v>0</v>
      </c>
      <c r="X668" s="141">
        <f t="shared" si="58"/>
        <v>0</v>
      </c>
      <c r="Y668" s="141">
        <v>0</v>
      </c>
    </row>
    <row r="669" spans="1:25" ht="15" x14ac:dyDescent="0.2">
      <c r="A669" s="235" t="s">
        <v>1467</v>
      </c>
      <c r="B669" s="396" t="s">
        <v>629</v>
      </c>
      <c r="C669" s="396" t="s">
        <v>193</v>
      </c>
      <c r="D669" s="535" t="str">
        <f>VLOOKUP(C669,'Seznam HS - nemaš'!$A$1:$B$96,2,FALSE)</f>
        <v>432100</v>
      </c>
      <c r="E669" s="229" t="s">
        <v>1542</v>
      </c>
      <c r="F669" s="238" t="s">
        <v>389</v>
      </c>
      <c r="G669" s="238"/>
      <c r="H669" s="224">
        <f>+IF(ISBLANK(I669),0,VLOOKUP(I669,'8Příloha_2_ceník_pravid_úklid'!$B$9:$C$30,2,0))</f>
        <v>17</v>
      </c>
      <c r="I669" s="229" t="s">
        <v>13</v>
      </c>
      <c r="J669" s="399">
        <v>8.7200000000000006</v>
      </c>
      <c r="K669" s="229" t="s">
        <v>51</v>
      </c>
      <c r="L669" s="242" t="s">
        <v>387</v>
      </c>
      <c r="M669" s="237" t="s">
        <v>49</v>
      </c>
      <c r="N669" s="229" t="s">
        <v>501</v>
      </c>
      <c r="O669" s="230">
        <v>0</v>
      </c>
      <c r="P669" s="230">
        <v>0</v>
      </c>
      <c r="Q669" s="230">
        <v>0</v>
      </c>
      <c r="R669" s="230">
        <v>0</v>
      </c>
      <c r="S669" s="231">
        <f>NETWORKDAYS.INTL(DATE(2018,1,1),DATE(2018,12,31),1,{"2018/1/1";"2018/3/30";"2018/4/2";"2018/5/1";"2018/5/8";"2018/7/5";"2018/7/6";"2018/09/28";"2018/11/17";"2018/12/24";"2018/12/25";"2018/12/26"})</f>
        <v>250</v>
      </c>
      <c r="T669" s="231">
        <f t="shared" si="54"/>
        <v>115</v>
      </c>
      <c r="U669" s="231">
        <f t="shared" si="55"/>
        <v>365</v>
      </c>
      <c r="V669" s="312">
        <f t="shared" si="56"/>
        <v>0</v>
      </c>
      <c r="W669" s="233">
        <f t="shared" si="57"/>
        <v>0</v>
      </c>
      <c r="X669" s="234">
        <f t="shared" si="58"/>
        <v>0</v>
      </c>
      <c r="Y669" s="234">
        <f t="shared" si="58"/>
        <v>0</v>
      </c>
    </row>
    <row r="670" spans="1:25" ht="15" x14ac:dyDescent="0.2">
      <c r="A670" s="235" t="s">
        <v>1467</v>
      </c>
      <c r="B670" s="396" t="s">
        <v>629</v>
      </c>
      <c r="C670" s="396" t="s">
        <v>199</v>
      </c>
      <c r="D670" s="535" t="str">
        <f>VLOOKUP(C670,'Seznam HS - nemaš'!$A$1:$B$96,2,FALSE)</f>
        <v>435100</v>
      </c>
      <c r="E670" s="229" t="s">
        <v>1543</v>
      </c>
      <c r="F670" s="238" t="s">
        <v>389</v>
      </c>
      <c r="G670" s="238"/>
      <c r="H670" s="224">
        <f>+IF(ISBLANK(I670),0,VLOOKUP(I670,'8Příloha_2_ceník_pravid_úklid'!$B$9:$C$30,2,0))</f>
        <v>17</v>
      </c>
      <c r="I670" s="229" t="s">
        <v>13</v>
      </c>
      <c r="J670" s="399">
        <v>17.91</v>
      </c>
      <c r="K670" s="229" t="s">
        <v>51</v>
      </c>
      <c r="L670" s="242" t="s">
        <v>387</v>
      </c>
      <c r="M670" s="237" t="s">
        <v>49</v>
      </c>
      <c r="N670" s="229" t="s">
        <v>501</v>
      </c>
      <c r="O670" s="230">
        <v>0</v>
      </c>
      <c r="P670" s="230">
        <v>0</v>
      </c>
      <c r="Q670" s="230">
        <v>0</v>
      </c>
      <c r="R670" s="230">
        <v>0</v>
      </c>
      <c r="S670" s="231">
        <f>NETWORKDAYS.INTL(DATE(2018,1,1),DATE(2018,12,31),1,{"2018/1/1";"2018/3/30";"2018/4/2";"2018/5/1";"2018/5/8";"2018/7/5";"2018/7/6";"2018/09/28";"2018/11/17";"2018/12/24";"2018/12/25";"2018/12/26"})</f>
        <v>250</v>
      </c>
      <c r="T670" s="231">
        <f t="shared" si="54"/>
        <v>115</v>
      </c>
      <c r="U670" s="231">
        <f t="shared" si="55"/>
        <v>365</v>
      </c>
      <c r="V670" s="312">
        <f t="shared" si="56"/>
        <v>0</v>
      </c>
      <c r="W670" s="233">
        <f t="shared" si="57"/>
        <v>0</v>
      </c>
      <c r="X670" s="234">
        <f t="shared" si="58"/>
        <v>0</v>
      </c>
      <c r="Y670" s="234">
        <f t="shared" si="58"/>
        <v>0</v>
      </c>
    </row>
    <row r="671" spans="1:25" ht="15" x14ac:dyDescent="0.2">
      <c r="A671" s="235" t="s">
        <v>762</v>
      </c>
      <c r="B671" s="396" t="s">
        <v>629</v>
      </c>
      <c r="C671" s="396"/>
      <c r="D671" s="535">
        <f>VLOOKUP(C671,'Seznam HS - nemaš'!$A$1:$B$96,2,FALSE)</f>
        <v>0</v>
      </c>
      <c r="E671" s="229" t="s">
        <v>1544</v>
      </c>
      <c r="F671" s="238" t="s">
        <v>1529</v>
      </c>
      <c r="G671" s="238" t="s">
        <v>337</v>
      </c>
      <c r="H671" s="28">
        <f>+IF(ISBLANK(I671),0,VLOOKUP(I671,'8Příloha_2_ceník_pravid_úklid'!$B$9:$C$30,2,0))</f>
        <v>0</v>
      </c>
      <c r="I671" s="229"/>
      <c r="J671" s="399">
        <v>4.78</v>
      </c>
      <c r="K671" s="229"/>
      <c r="L671" s="242" t="s">
        <v>387</v>
      </c>
      <c r="M671" s="237"/>
      <c r="N671" s="229" t="s">
        <v>501</v>
      </c>
      <c r="O671" s="230">
        <v>0</v>
      </c>
      <c r="P671" s="230">
        <v>0</v>
      </c>
      <c r="Q671" s="230">
        <v>0</v>
      </c>
      <c r="R671" s="230">
        <v>0</v>
      </c>
      <c r="S671" s="231">
        <f>NETWORKDAYS.INTL(DATE(2018,1,1),DATE(2018,12,31),1,{"2018/1/1";"2018/3/30";"2018/4/2";"2018/5/1";"2018/5/8";"2018/7/5";"2018/7/6";"2018/09/28";"2018/11/17";"2018/12/24";"2018/12/25";"2018/12/26"})</f>
        <v>250</v>
      </c>
      <c r="T671" s="231">
        <f t="shared" si="54"/>
        <v>115</v>
      </c>
      <c r="U671" s="231">
        <f t="shared" si="55"/>
        <v>365</v>
      </c>
      <c r="V671" s="312">
        <f t="shared" si="56"/>
        <v>0</v>
      </c>
      <c r="W671" s="233">
        <f t="shared" si="57"/>
        <v>0</v>
      </c>
      <c r="X671" s="234">
        <f t="shared" si="58"/>
        <v>0</v>
      </c>
      <c r="Y671" s="234">
        <f t="shared" si="58"/>
        <v>0</v>
      </c>
    </row>
    <row r="672" spans="1:25" ht="15" x14ac:dyDescent="0.2">
      <c r="A672" s="276" t="s">
        <v>767</v>
      </c>
      <c r="B672" s="391" t="s">
        <v>629</v>
      </c>
      <c r="C672" s="391"/>
      <c r="D672" s="139">
        <f>VLOOKUP(C672,'Seznam HS - nemaš'!$A$1:$B$96,2,FALSE)</f>
        <v>0</v>
      </c>
      <c r="E672" s="19" t="s">
        <v>1545</v>
      </c>
      <c r="F672" s="154" t="s">
        <v>53</v>
      </c>
      <c r="G672" s="154"/>
      <c r="H672" s="28">
        <f>+IF(ISBLANK(I672),0,VLOOKUP(I672,'8Příloha_2_ceník_pravid_úklid'!$B$9:$C$30,2,0))</f>
        <v>6</v>
      </c>
      <c r="I672" s="19" t="s">
        <v>1</v>
      </c>
      <c r="J672" s="155">
        <v>31.56</v>
      </c>
      <c r="K672" s="19" t="s">
        <v>50</v>
      </c>
      <c r="L672" s="156" t="s">
        <v>21</v>
      </c>
      <c r="M672" s="22" t="s">
        <v>49</v>
      </c>
      <c r="N672" s="24">
        <f>IF((VLOOKUP(I672,'8Příloha_2_ceník_pravid_úklid'!$B$9:$I$30,8,0))=0,VLOOKUP(I672,'8Příloha_2_ceník_pravid_úklid'!$B$9:$K$30,10,0),VLOOKUP(I672,'8Příloha_2_ceník_pravid_úklid'!$B$9:$I$30,8,0))</f>
        <v>0</v>
      </c>
      <c r="O672" s="20">
        <v>1</v>
      </c>
      <c r="P672" s="20">
        <v>1</v>
      </c>
      <c r="Q672" s="20">
        <v>0</v>
      </c>
      <c r="R672" s="20">
        <v>0</v>
      </c>
      <c r="S672" s="21">
        <f>NETWORKDAYS.INTL(DATE(2018,1,1),DATE(2018,12,31),1,{"2018/1/1";"2018/3/30";"2018/4/2";"2018/5/1";"2018/5/8";"2018/7/5";"2018/7/6";"2018/09/28";"2018/11/17";"2018/12/24";"2018/12/25";"2018/12/26"})</f>
        <v>250</v>
      </c>
      <c r="T672" s="21">
        <f t="shared" si="54"/>
        <v>115</v>
      </c>
      <c r="U672" s="21">
        <f t="shared" si="55"/>
        <v>365</v>
      </c>
      <c r="V672" s="311">
        <f t="shared" si="56"/>
        <v>250</v>
      </c>
      <c r="W672" s="140">
        <f t="shared" si="57"/>
        <v>0</v>
      </c>
      <c r="X672" s="141">
        <f t="shared" si="58"/>
        <v>0</v>
      </c>
      <c r="Y672" s="141">
        <v>0</v>
      </c>
    </row>
    <row r="673" spans="1:25" ht="15" x14ac:dyDescent="0.2">
      <c r="A673" s="276" t="s">
        <v>767</v>
      </c>
      <c r="B673" s="391" t="s">
        <v>629</v>
      </c>
      <c r="C673" s="391"/>
      <c r="D673" s="139">
        <f>VLOOKUP(C673,'Seznam HS - nemaš'!$A$1:$B$96,2,FALSE)</f>
        <v>0</v>
      </c>
      <c r="E673" s="19" t="s">
        <v>1546</v>
      </c>
      <c r="F673" s="154" t="s">
        <v>1090</v>
      </c>
      <c r="G673" s="154" t="s">
        <v>539</v>
      </c>
      <c r="H673" s="28">
        <f>+IF(ISBLANK(I673),0,VLOOKUP(I673,'8Příloha_2_ceník_pravid_úklid'!$B$9:$C$30,2,0))</f>
        <v>7</v>
      </c>
      <c r="I673" s="19" t="s">
        <v>14</v>
      </c>
      <c r="J673" s="155">
        <v>4.16</v>
      </c>
      <c r="K673" s="19" t="s">
        <v>50</v>
      </c>
      <c r="L673" s="156" t="s">
        <v>21</v>
      </c>
      <c r="M673" s="22" t="s">
        <v>49</v>
      </c>
      <c r="N673" s="24">
        <f>IF((VLOOKUP(I673,'8Příloha_2_ceník_pravid_úklid'!$B$9:$I$30,8,0))=0,VLOOKUP(I673,'8Příloha_2_ceník_pravid_úklid'!$B$9:$K$30,10,0),VLOOKUP(I673,'8Příloha_2_ceník_pravid_úklid'!$B$9:$I$30,8,0))</f>
        <v>0</v>
      </c>
      <c r="O673" s="20">
        <v>1</v>
      </c>
      <c r="P673" s="20">
        <v>1</v>
      </c>
      <c r="Q673" s="20">
        <v>0</v>
      </c>
      <c r="R673" s="20">
        <v>0</v>
      </c>
      <c r="S673" s="21">
        <f>NETWORKDAYS.INTL(DATE(2018,1,1),DATE(2018,12,31),1,{"2018/1/1";"2018/3/30";"2018/4/2";"2018/5/1";"2018/5/8";"2018/7/5";"2018/7/6";"2018/09/28";"2018/11/17";"2018/12/24";"2018/12/25";"2018/12/26"})</f>
        <v>250</v>
      </c>
      <c r="T673" s="21">
        <f t="shared" si="54"/>
        <v>115</v>
      </c>
      <c r="U673" s="21">
        <f t="shared" si="55"/>
        <v>365</v>
      </c>
      <c r="V673" s="311">
        <f t="shared" si="56"/>
        <v>250</v>
      </c>
      <c r="W673" s="140">
        <f t="shared" si="57"/>
        <v>0</v>
      </c>
      <c r="X673" s="141">
        <f t="shared" si="58"/>
        <v>0</v>
      </c>
      <c r="Y673" s="141">
        <v>0</v>
      </c>
    </row>
    <row r="674" spans="1:25" ht="15" x14ac:dyDescent="0.2">
      <c r="A674" s="276" t="s">
        <v>767</v>
      </c>
      <c r="B674" s="391" t="s">
        <v>629</v>
      </c>
      <c r="C674" s="391"/>
      <c r="D674" s="139">
        <f>VLOOKUP(C674,'Seznam HS - nemaš'!$A$1:$B$96,2,FALSE)</f>
        <v>0</v>
      </c>
      <c r="E674" s="19" t="s">
        <v>1547</v>
      </c>
      <c r="F674" s="154" t="s">
        <v>1090</v>
      </c>
      <c r="G674" s="154" t="s">
        <v>540</v>
      </c>
      <c r="H674" s="28">
        <f>+IF(ISBLANK(I674),0,VLOOKUP(I674,'8Příloha_2_ceník_pravid_úklid'!$B$9:$C$30,2,0))</f>
        <v>7</v>
      </c>
      <c r="I674" s="19" t="s">
        <v>14</v>
      </c>
      <c r="J674" s="155">
        <v>4.16</v>
      </c>
      <c r="K674" s="19" t="s">
        <v>50</v>
      </c>
      <c r="L674" s="156" t="s">
        <v>21</v>
      </c>
      <c r="M674" s="22" t="s">
        <v>49</v>
      </c>
      <c r="N674" s="24">
        <f>IF((VLOOKUP(I674,'8Příloha_2_ceník_pravid_úklid'!$B$9:$I$30,8,0))=0,VLOOKUP(I674,'8Příloha_2_ceník_pravid_úklid'!$B$9:$K$30,10,0),VLOOKUP(I674,'8Příloha_2_ceník_pravid_úklid'!$B$9:$I$30,8,0))</f>
        <v>0</v>
      </c>
      <c r="O674" s="20">
        <v>1</v>
      </c>
      <c r="P674" s="20">
        <v>1</v>
      </c>
      <c r="Q674" s="20">
        <v>0</v>
      </c>
      <c r="R674" s="20">
        <v>0</v>
      </c>
      <c r="S674" s="21">
        <f>NETWORKDAYS.INTL(DATE(2018,1,1),DATE(2018,12,31),1,{"2018/1/1";"2018/3/30";"2018/4/2";"2018/5/1";"2018/5/8";"2018/7/5";"2018/7/6";"2018/09/28";"2018/11/17";"2018/12/24";"2018/12/25";"2018/12/26"})</f>
        <v>250</v>
      </c>
      <c r="T674" s="21">
        <f t="shared" si="54"/>
        <v>115</v>
      </c>
      <c r="U674" s="21">
        <f t="shared" si="55"/>
        <v>365</v>
      </c>
      <c r="V674" s="311">
        <f t="shared" si="56"/>
        <v>250</v>
      </c>
      <c r="W674" s="140">
        <f t="shared" si="57"/>
        <v>0</v>
      </c>
      <c r="X674" s="141">
        <f t="shared" si="58"/>
        <v>0</v>
      </c>
      <c r="Y674" s="141">
        <v>0</v>
      </c>
    </row>
    <row r="675" spans="1:25" ht="15" x14ac:dyDescent="0.2">
      <c r="A675" s="235" t="s">
        <v>1467</v>
      </c>
      <c r="B675" s="396" t="s">
        <v>629</v>
      </c>
      <c r="C675" s="396" t="s">
        <v>205</v>
      </c>
      <c r="D675" s="535" t="str">
        <f>VLOOKUP(C675,'Seznam HS - nemaš'!$A$1:$B$96,2,FALSE)</f>
        <v>435402</v>
      </c>
      <c r="E675" s="229" t="s">
        <v>1548</v>
      </c>
      <c r="F675" s="238" t="s">
        <v>389</v>
      </c>
      <c r="G675" s="238"/>
      <c r="H675" s="224">
        <f>+IF(ISBLANK(I675),0,VLOOKUP(I675,'8Příloha_2_ceník_pravid_úklid'!$B$9:$C$30,2,0))</f>
        <v>17</v>
      </c>
      <c r="I675" s="229" t="s">
        <v>13</v>
      </c>
      <c r="J675" s="233">
        <v>9.94</v>
      </c>
      <c r="K675" s="229" t="s">
        <v>51</v>
      </c>
      <c r="L675" s="242" t="s">
        <v>387</v>
      </c>
      <c r="M675" s="237" t="s">
        <v>49</v>
      </c>
      <c r="N675" s="229" t="s">
        <v>501</v>
      </c>
      <c r="O675" s="230">
        <v>0</v>
      </c>
      <c r="P675" s="230">
        <v>0</v>
      </c>
      <c r="Q675" s="230">
        <v>0</v>
      </c>
      <c r="R675" s="230">
        <v>0</v>
      </c>
      <c r="S675" s="231">
        <f>NETWORKDAYS.INTL(DATE(2018,1,1),DATE(2018,12,31),1,{"2018/1/1";"2018/3/30";"2018/4/2";"2018/5/1";"2018/5/8";"2018/7/5";"2018/7/6";"2018/09/28";"2018/11/17";"2018/12/24";"2018/12/25";"2018/12/26"})</f>
        <v>250</v>
      </c>
      <c r="T675" s="231">
        <f t="shared" si="54"/>
        <v>115</v>
      </c>
      <c r="U675" s="231">
        <f t="shared" si="55"/>
        <v>365</v>
      </c>
      <c r="V675" s="312">
        <f t="shared" si="56"/>
        <v>0</v>
      </c>
      <c r="W675" s="233">
        <f t="shared" si="57"/>
        <v>0</v>
      </c>
      <c r="X675" s="234">
        <f t="shared" si="58"/>
        <v>0</v>
      </c>
      <c r="Y675" s="234">
        <f t="shared" si="58"/>
        <v>0</v>
      </c>
    </row>
    <row r="676" spans="1:25" ht="15" x14ac:dyDescent="0.2">
      <c r="A676" s="276" t="s">
        <v>767</v>
      </c>
      <c r="B676" s="391" t="s">
        <v>629</v>
      </c>
      <c r="C676" s="391"/>
      <c r="D676" s="139">
        <f>VLOOKUP(C676,'Seznam HS - nemaš'!$A$1:$B$96,2,FALSE)</f>
        <v>0</v>
      </c>
      <c r="E676" s="19" t="s">
        <v>1549</v>
      </c>
      <c r="F676" s="154" t="s">
        <v>552</v>
      </c>
      <c r="G676" s="154"/>
      <c r="H676" s="28">
        <f>+IF(ISBLANK(I676),0,VLOOKUP(I676,'8Příloha_2_ceník_pravid_úklid'!$B$9:$C$30,2,0))</f>
        <v>16</v>
      </c>
      <c r="I676" s="19" t="s">
        <v>6</v>
      </c>
      <c r="J676" s="155">
        <v>9.94</v>
      </c>
      <c r="K676" s="19" t="s">
        <v>51</v>
      </c>
      <c r="L676" s="156" t="s">
        <v>21</v>
      </c>
      <c r="M676" s="22" t="s">
        <v>49</v>
      </c>
      <c r="N676" s="24">
        <f>IF((VLOOKUP(I676,'8Příloha_2_ceník_pravid_úklid'!$B$9:$I$30,8,0))=0,VLOOKUP(I676,'8Příloha_2_ceník_pravid_úklid'!$B$9:$K$30,10,0),VLOOKUP(I676,'8Příloha_2_ceník_pravid_úklid'!$B$9:$I$30,8,0))</f>
        <v>0</v>
      </c>
      <c r="O676" s="20">
        <v>1</v>
      </c>
      <c r="P676" s="20">
        <v>1</v>
      </c>
      <c r="Q676" s="20">
        <v>0</v>
      </c>
      <c r="R676" s="20">
        <v>0</v>
      </c>
      <c r="S676" s="21">
        <f>NETWORKDAYS.INTL(DATE(2018,1,1),DATE(2018,12,31),1,{"2018/1/1";"2018/3/30";"2018/4/2";"2018/5/1";"2018/5/8";"2018/7/5";"2018/7/6";"2018/09/28";"2018/11/17";"2018/12/24";"2018/12/25";"2018/12/26"})</f>
        <v>250</v>
      </c>
      <c r="T676" s="21">
        <f t="shared" si="54"/>
        <v>115</v>
      </c>
      <c r="U676" s="21">
        <f t="shared" si="55"/>
        <v>365</v>
      </c>
      <c r="V676" s="311">
        <f t="shared" si="56"/>
        <v>250</v>
      </c>
      <c r="W676" s="140">
        <f t="shared" si="57"/>
        <v>0</v>
      </c>
      <c r="X676" s="141">
        <f t="shared" si="58"/>
        <v>0</v>
      </c>
      <c r="Y676" s="141">
        <v>0</v>
      </c>
    </row>
    <row r="677" spans="1:25" ht="15" x14ac:dyDescent="0.2">
      <c r="A677" s="235" t="s">
        <v>1453</v>
      </c>
      <c r="B677" s="396" t="s">
        <v>629</v>
      </c>
      <c r="C677" s="396"/>
      <c r="D677" s="535">
        <f>VLOOKUP(C677,'Seznam HS - nemaš'!$A$1:$B$96,2,FALSE)</f>
        <v>0</v>
      </c>
      <c r="E677" s="229" t="s">
        <v>1550</v>
      </c>
      <c r="F677" s="238" t="s">
        <v>505</v>
      </c>
      <c r="G677" s="238" t="s">
        <v>663</v>
      </c>
      <c r="H677" s="224">
        <f>+IF(ISBLANK(I677),0,VLOOKUP(I677,'8Příloha_2_ceník_pravid_úklid'!$B$9:$C$30,2,0))</f>
        <v>0</v>
      </c>
      <c r="I677" s="229"/>
      <c r="J677" s="233">
        <v>83.41</v>
      </c>
      <c r="K677" s="229"/>
      <c r="L677" s="242" t="s">
        <v>387</v>
      </c>
      <c r="M677" s="237"/>
      <c r="N677" s="229" t="s">
        <v>501</v>
      </c>
      <c r="O677" s="230">
        <v>0</v>
      </c>
      <c r="P677" s="230">
        <v>0</v>
      </c>
      <c r="Q677" s="230">
        <v>0</v>
      </c>
      <c r="R677" s="230">
        <v>0</v>
      </c>
      <c r="S677" s="231">
        <f>NETWORKDAYS.INTL(DATE(2018,1,1),DATE(2018,12,31),1,{"2018/1/1";"2018/3/30";"2018/4/2";"2018/5/1";"2018/5/8";"2018/7/5";"2018/7/6";"2018/09/28";"2018/11/17";"2018/12/24";"2018/12/25";"2018/12/26"})</f>
        <v>250</v>
      </c>
      <c r="T677" s="231">
        <f t="shared" si="54"/>
        <v>115</v>
      </c>
      <c r="U677" s="231">
        <f t="shared" si="55"/>
        <v>365</v>
      </c>
      <c r="V677" s="312">
        <f t="shared" si="56"/>
        <v>0</v>
      </c>
      <c r="W677" s="233">
        <f t="shared" si="57"/>
        <v>0</v>
      </c>
      <c r="X677" s="234">
        <f t="shared" si="58"/>
        <v>0</v>
      </c>
      <c r="Y677" s="234">
        <f t="shared" si="58"/>
        <v>0</v>
      </c>
    </row>
    <row r="678" spans="1:25" ht="15" x14ac:dyDescent="0.2">
      <c r="A678" s="276" t="s">
        <v>1463</v>
      </c>
      <c r="B678" s="391" t="s">
        <v>629</v>
      </c>
      <c r="C678" s="391" t="s">
        <v>201</v>
      </c>
      <c r="D678" s="139" t="str">
        <f>VLOOKUP(C678,'Seznam HS - nemaš'!$A$1:$B$96,2,FALSE)</f>
        <v>435400</v>
      </c>
      <c r="E678" s="19" t="s">
        <v>1551</v>
      </c>
      <c r="F678" s="154" t="s">
        <v>329</v>
      </c>
      <c r="G678" s="154" t="s">
        <v>1465</v>
      </c>
      <c r="H678" s="28">
        <f>+IF(ISBLANK(I678),0,VLOOKUP(I678,'8Příloha_2_ceník_pravid_úklid'!$B$9:$C$30,2,0))</f>
        <v>4</v>
      </c>
      <c r="I678" s="19" t="s">
        <v>9</v>
      </c>
      <c r="J678" s="155">
        <v>27.12</v>
      </c>
      <c r="K678" s="19" t="s">
        <v>52</v>
      </c>
      <c r="L678" s="156" t="s">
        <v>637</v>
      </c>
      <c r="M678" s="22" t="s">
        <v>49</v>
      </c>
      <c r="N678" s="24">
        <f>IF((VLOOKUP(I678,'8Příloha_2_ceník_pravid_úklid'!$B$9:$I$30,8,0))=0,VLOOKUP(I678,'8Příloha_2_ceník_pravid_úklid'!$B$9:$K$30,10,0),VLOOKUP(I678,'8Příloha_2_ceník_pravid_úklid'!$B$9:$I$30,8,0))</f>
        <v>0</v>
      </c>
      <c r="O678" s="20">
        <v>1</v>
      </c>
      <c r="P678" s="20">
        <f>2/5</f>
        <v>0.4</v>
      </c>
      <c r="Q678" s="20">
        <v>0</v>
      </c>
      <c r="R678" s="20">
        <v>0</v>
      </c>
      <c r="S678" s="21">
        <f>NETWORKDAYS.INTL(DATE(2018,1,1),DATE(2018,12,31),1,{"2018/1/1";"2018/3/30";"2018/4/2";"2018/5/1";"2018/5/8";"2018/7/5";"2018/7/6";"2018/09/28";"2018/11/17";"2018/12/24";"2018/12/25";"2018/12/26"})</f>
        <v>250</v>
      </c>
      <c r="T678" s="21">
        <f t="shared" si="54"/>
        <v>115</v>
      </c>
      <c r="U678" s="21">
        <f t="shared" si="55"/>
        <v>365</v>
      </c>
      <c r="V678" s="311">
        <f t="shared" si="56"/>
        <v>100</v>
      </c>
      <c r="W678" s="140">
        <f t="shared" si="57"/>
        <v>0</v>
      </c>
      <c r="X678" s="141">
        <f t="shared" si="58"/>
        <v>0</v>
      </c>
      <c r="Y678" s="141">
        <v>0</v>
      </c>
    </row>
    <row r="679" spans="1:25" ht="15" x14ac:dyDescent="0.2">
      <c r="A679" s="235" t="s">
        <v>1463</v>
      </c>
      <c r="B679" s="396" t="s">
        <v>629</v>
      </c>
      <c r="C679" s="396"/>
      <c r="D679" s="535">
        <f>VLOOKUP(C679,'Seznam HS - nemaš'!$A$1:$B$96,2,FALSE)</f>
        <v>0</v>
      </c>
      <c r="E679" s="229" t="s">
        <v>1552</v>
      </c>
      <c r="F679" s="238" t="s">
        <v>398</v>
      </c>
      <c r="G679" s="238"/>
      <c r="H679" s="224">
        <f>+IF(ISBLANK(I679),0,VLOOKUP(I679,'8Příloha_2_ceník_pravid_úklid'!$B$9:$C$30,2,0))</f>
        <v>0</v>
      </c>
      <c r="I679" s="229"/>
      <c r="J679" s="233"/>
      <c r="K679" s="229"/>
      <c r="L679" s="242" t="s">
        <v>387</v>
      </c>
      <c r="M679" s="237"/>
      <c r="N679" s="229" t="s">
        <v>501</v>
      </c>
      <c r="O679" s="230">
        <v>0</v>
      </c>
      <c r="P679" s="230">
        <v>0</v>
      </c>
      <c r="Q679" s="230">
        <v>0</v>
      </c>
      <c r="R679" s="230">
        <v>0</v>
      </c>
      <c r="S679" s="231">
        <f>NETWORKDAYS.INTL(DATE(2018,1,1),DATE(2018,12,31),1,{"2018/1/1";"2018/3/30";"2018/4/2";"2018/5/1";"2018/5/8";"2018/7/5";"2018/7/6";"2018/09/28";"2018/11/17";"2018/12/24";"2018/12/25";"2018/12/26"})</f>
        <v>250</v>
      </c>
      <c r="T679" s="231">
        <f t="shared" si="54"/>
        <v>115</v>
      </c>
      <c r="U679" s="231">
        <f t="shared" si="55"/>
        <v>365</v>
      </c>
      <c r="V679" s="312">
        <f t="shared" si="56"/>
        <v>0</v>
      </c>
      <c r="W679" s="233">
        <f t="shared" si="57"/>
        <v>0</v>
      </c>
      <c r="X679" s="234">
        <f t="shared" si="58"/>
        <v>0</v>
      </c>
      <c r="Y679" s="234">
        <f t="shared" si="58"/>
        <v>0</v>
      </c>
    </row>
    <row r="680" spans="1:25" ht="15" x14ac:dyDescent="0.2">
      <c r="A680" s="276" t="s">
        <v>1463</v>
      </c>
      <c r="B680" s="391" t="s">
        <v>629</v>
      </c>
      <c r="C680" s="391" t="s">
        <v>207</v>
      </c>
      <c r="D680" s="139" t="str">
        <f>VLOOKUP(C680,'Seznam HS - nemaš'!$A$1:$B$96,2,FALSE)</f>
        <v>435403</v>
      </c>
      <c r="E680" s="19" t="s">
        <v>1553</v>
      </c>
      <c r="F680" s="154" t="s">
        <v>329</v>
      </c>
      <c r="G680" s="154" t="s">
        <v>1465</v>
      </c>
      <c r="H680" s="28">
        <f>+IF(ISBLANK(I680),0,VLOOKUP(I680,'8Příloha_2_ceník_pravid_úklid'!$B$9:$C$30,2,0))</f>
        <v>4</v>
      </c>
      <c r="I680" s="19" t="s">
        <v>9</v>
      </c>
      <c r="J680" s="155">
        <v>13.44</v>
      </c>
      <c r="K680" s="19" t="s">
        <v>52</v>
      </c>
      <c r="L680" s="156" t="s">
        <v>637</v>
      </c>
      <c r="M680" s="22" t="s">
        <v>49</v>
      </c>
      <c r="N680" s="24">
        <f>IF((VLOOKUP(I680,'8Příloha_2_ceník_pravid_úklid'!$B$9:$I$30,8,0))=0,VLOOKUP(I680,'8Příloha_2_ceník_pravid_úklid'!$B$9:$K$30,10,0),VLOOKUP(I680,'8Příloha_2_ceník_pravid_úklid'!$B$9:$I$30,8,0))</f>
        <v>0</v>
      </c>
      <c r="O680" s="20">
        <v>1</v>
      </c>
      <c r="P680" s="20">
        <f>2/5</f>
        <v>0.4</v>
      </c>
      <c r="Q680" s="20">
        <v>0</v>
      </c>
      <c r="R680" s="20">
        <v>0</v>
      </c>
      <c r="S680" s="21">
        <f>NETWORKDAYS.INTL(DATE(2018,1,1),DATE(2018,12,31),1,{"2018/1/1";"2018/3/30";"2018/4/2";"2018/5/1";"2018/5/8";"2018/7/5";"2018/7/6";"2018/09/28";"2018/11/17";"2018/12/24";"2018/12/25";"2018/12/26"})</f>
        <v>250</v>
      </c>
      <c r="T680" s="21">
        <f t="shared" si="54"/>
        <v>115</v>
      </c>
      <c r="U680" s="21">
        <f t="shared" si="55"/>
        <v>365</v>
      </c>
      <c r="V680" s="311">
        <f t="shared" si="56"/>
        <v>100</v>
      </c>
      <c r="W680" s="140">
        <f t="shared" si="57"/>
        <v>0</v>
      </c>
      <c r="X680" s="141">
        <f t="shared" si="58"/>
        <v>0</v>
      </c>
      <c r="Y680" s="141">
        <v>0</v>
      </c>
    </row>
    <row r="681" spans="1:25" ht="15" x14ac:dyDescent="0.2">
      <c r="A681" s="276" t="s">
        <v>1463</v>
      </c>
      <c r="B681" s="391" t="s">
        <v>629</v>
      </c>
      <c r="C681" s="391" t="s">
        <v>203</v>
      </c>
      <c r="D681" s="139" t="str">
        <f>VLOOKUP(C681,'Seznam HS - nemaš'!$A$1:$B$96,2,FALSE)</f>
        <v>435401</v>
      </c>
      <c r="E681" s="19" t="s">
        <v>1554</v>
      </c>
      <c r="F681" s="154" t="s">
        <v>329</v>
      </c>
      <c r="G681" s="154" t="s">
        <v>1465</v>
      </c>
      <c r="H681" s="28">
        <f>+IF(ISBLANK(I681),0,VLOOKUP(I681,'8Příloha_2_ceník_pravid_úklid'!$B$9:$C$30,2,0))</f>
        <v>4</v>
      </c>
      <c r="I681" s="19" t="s">
        <v>9</v>
      </c>
      <c r="J681" s="155">
        <v>27.6</v>
      </c>
      <c r="K681" s="19" t="s">
        <v>52</v>
      </c>
      <c r="L681" s="156" t="s">
        <v>637</v>
      </c>
      <c r="M681" s="22" t="s">
        <v>49</v>
      </c>
      <c r="N681" s="24">
        <f>IF((VLOOKUP(I681,'8Příloha_2_ceník_pravid_úklid'!$B$9:$I$30,8,0))=0,VLOOKUP(I681,'8Příloha_2_ceník_pravid_úklid'!$B$9:$K$30,10,0),VLOOKUP(I681,'8Příloha_2_ceník_pravid_úklid'!$B$9:$I$30,8,0))</f>
        <v>0</v>
      </c>
      <c r="O681" s="20">
        <v>1</v>
      </c>
      <c r="P681" s="20">
        <f>2/5</f>
        <v>0.4</v>
      </c>
      <c r="Q681" s="20">
        <v>0</v>
      </c>
      <c r="R681" s="20">
        <v>0</v>
      </c>
      <c r="S681" s="21">
        <f>NETWORKDAYS.INTL(DATE(2018,1,1),DATE(2018,12,31),1,{"2018/1/1";"2018/3/30";"2018/4/2";"2018/5/1";"2018/5/8";"2018/7/5";"2018/7/6";"2018/09/28";"2018/11/17";"2018/12/24";"2018/12/25";"2018/12/26"})</f>
        <v>250</v>
      </c>
      <c r="T681" s="21">
        <f t="shared" si="54"/>
        <v>115</v>
      </c>
      <c r="U681" s="21">
        <f t="shared" si="55"/>
        <v>365</v>
      </c>
      <c r="V681" s="311">
        <f t="shared" si="56"/>
        <v>100</v>
      </c>
      <c r="W681" s="140">
        <f t="shared" si="57"/>
        <v>0</v>
      </c>
      <c r="X681" s="141">
        <f t="shared" si="58"/>
        <v>0</v>
      </c>
      <c r="Y681" s="141">
        <v>0</v>
      </c>
    </row>
    <row r="682" spans="1:25" ht="15" x14ac:dyDescent="0.2">
      <c r="A682" s="235" t="s">
        <v>1463</v>
      </c>
      <c r="B682" s="396" t="s">
        <v>629</v>
      </c>
      <c r="C682" s="396"/>
      <c r="D682" s="535">
        <f>VLOOKUP(C682,'Seznam HS - nemaš'!$A$1:$B$96,2,FALSE)</f>
        <v>0</v>
      </c>
      <c r="E682" s="229" t="s">
        <v>1555</v>
      </c>
      <c r="F682" s="238" t="s">
        <v>398</v>
      </c>
      <c r="G682" s="238"/>
      <c r="H682" s="224">
        <f>+IF(ISBLANK(I682),0,VLOOKUP(I682,'8Příloha_2_ceník_pravid_úklid'!$B$9:$C$30,2,0))</f>
        <v>0</v>
      </c>
      <c r="I682" s="229"/>
      <c r="J682" s="233"/>
      <c r="K682" s="229"/>
      <c r="L682" s="242" t="s">
        <v>387</v>
      </c>
      <c r="M682" s="237"/>
      <c r="N682" s="229" t="s">
        <v>501</v>
      </c>
      <c r="O682" s="230">
        <v>0</v>
      </c>
      <c r="P682" s="230">
        <v>0</v>
      </c>
      <c r="Q682" s="230">
        <v>0</v>
      </c>
      <c r="R682" s="230">
        <v>0</v>
      </c>
      <c r="S682" s="231">
        <f>NETWORKDAYS.INTL(DATE(2018,1,1),DATE(2018,12,31),1,{"2018/1/1";"2018/3/30";"2018/4/2";"2018/5/1";"2018/5/8";"2018/7/5";"2018/7/6";"2018/09/28";"2018/11/17";"2018/12/24";"2018/12/25";"2018/12/26"})</f>
        <v>250</v>
      </c>
      <c r="T682" s="231">
        <f t="shared" si="54"/>
        <v>115</v>
      </c>
      <c r="U682" s="231">
        <f t="shared" si="55"/>
        <v>365</v>
      </c>
      <c r="V682" s="312">
        <f t="shared" si="56"/>
        <v>0</v>
      </c>
      <c r="W682" s="233">
        <f t="shared" si="57"/>
        <v>0</v>
      </c>
      <c r="X682" s="234">
        <f t="shared" si="58"/>
        <v>0</v>
      </c>
      <c r="Y682" s="234">
        <f t="shared" si="58"/>
        <v>0</v>
      </c>
    </row>
    <row r="683" spans="1:25" ht="15" x14ac:dyDescent="0.2">
      <c r="A683" s="276" t="s">
        <v>767</v>
      </c>
      <c r="B683" s="391" t="s">
        <v>629</v>
      </c>
      <c r="C683" s="391"/>
      <c r="D683" s="139">
        <f>VLOOKUP(C683,'Seznam HS - nemaš'!$A$1:$B$96,2,FALSE)</f>
        <v>0</v>
      </c>
      <c r="E683" s="19" t="s">
        <v>1556</v>
      </c>
      <c r="F683" s="154" t="s">
        <v>336</v>
      </c>
      <c r="G683" s="154" t="s">
        <v>337</v>
      </c>
      <c r="H683" s="28">
        <f>+IF(ISBLANK(I683),0,VLOOKUP(I683,'8Příloha_2_ceník_pravid_úklid'!$B$9:$C$30,2,0))</f>
        <v>8</v>
      </c>
      <c r="I683" s="19" t="s">
        <v>11</v>
      </c>
      <c r="J683" s="155">
        <v>20.53</v>
      </c>
      <c r="K683" s="19" t="s">
        <v>64</v>
      </c>
      <c r="L683" s="156" t="s">
        <v>21</v>
      </c>
      <c r="M683" s="22" t="s">
        <v>49</v>
      </c>
      <c r="N683" s="24">
        <f>IF((VLOOKUP(I683,'8Příloha_2_ceník_pravid_úklid'!$B$9:$I$30,8,0))=0,VLOOKUP(I683,'8Příloha_2_ceník_pravid_úklid'!$B$9:$K$30,10,0),VLOOKUP(I683,'8Příloha_2_ceník_pravid_úklid'!$B$9:$I$30,8,0))</f>
        <v>0</v>
      </c>
      <c r="O683" s="20">
        <v>1</v>
      </c>
      <c r="P683" s="20">
        <v>1</v>
      </c>
      <c r="Q683" s="20">
        <v>0</v>
      </c>
      <c r="R683" s="20">
        <v>0</v>
      </c>
      <c r="S683" s="21">
        <f>NETWORKDAYS.INTL(DATE(2018,1,1),DATE(2018,12,31),1,{"2018/1/1";"2018/3/30";"2018/4/2";"2018/5/1";"2018/5/8";"2018/7/5";"2018/7/6";"2018/09/28";"2018/11/17";"2018/12/24";"2018/12/25";"2018/12/26"})</f>
        <v>250</v>
      </c>
      <c r="T683" s="21">
        <f t="shared" si="54"/>
        <v>115</v>
      </c>
      <c r="U683" s="21">
        <f t="shared" si="55"/>
        <v>365</v>
      </c>
      <c r="V683" s="311">
        <f t="shared" si="56"/>
        <v>250</v>
      </c>
      <c r="W683" s="140">
        <f t="shared" si="57"/>
        <v>0</v>
      </c>
      <c r="X683" s="141">
        <f t="shared" si="58"/>
        <v>0</v>
      </c>
      <c r="Y683" s="141">
        <v>0</v>
      </c>
    </row>
    <row r="684" spans="1:25" ht="15" x14ac:dyDescent="0.2">
      <c r="A684" s="409" t="s">
        <v>767</v>
      </c>
      <c r="B684" s="410" t="s">
        <v>629</v>
      </c>
      <c r="C684" s="410"/>
      <c r="D684" s="212">
        <f>VLOOKUP(C684,'Seznam HS - nemaš'!$A$1:$B$96,2,FALSE)</f>
        <v>0</v>
      </c>
      <c r="E684" s="165" t="s">
        <v>1557</v>
      </c>
      <c r="F684" s="160" t="s">
        <v>336</v>
      </c>
      <c r="G684" s="160" t="s">
        <v>1403</v>
      </c>
      <c r="H684" s="161">
        <f>+IF(ISBLANK(I684),0,VLOOKUP(I684,'8Příloha_2_ceník_pravid_úklid'!$B$9:$C$30,2,0))</f>
        <v>8</v>
      </c>
      <c r="I684" s="165" t="s">
        <v>11</v>
      </c>
      <c r="J684" s="411">
        <v>20.53</v>
      </c>
      <c r="K684" s="165" t="s">
        <v>64</v>
      </c>
      <c r="L684" s="164" t="s">
        <v>21</v>
      </c>
      <c r="M684" s="159" t="s">
        <v>49</v>
      </c>
      <c r="N684" s="165">
        <f>IF((VLOOKUP(I684,'8Příloha_2_ceník_pravid_úklid'!$B$9:$I$30,8,0))=0,VLOOKUP(I684,'8Příloha_2_ceník_pravid_úklid'!$B$9:$K$30,10,0),VLOOKUP(I684,'8Příloha_2_ceník_pravid_úklid'!$B$9:$I$30,8,0))</f>
        <v>0</v>
      </c>
      <c r="O684" s="166">
        <v>1</v>
      </c>
      <c r="P684" s="166">
        <v>1</v>
      </c>
      <c r="Q684" s="166">
        <v>0</v>
      </c>
      <c r="R684" s="166">
        <v>0</v>
      </c>
      <c r="S684" s="167">
        <f>NETWORKDAYS.INTL(DATE(2018,1,1),DATE(2018,12,31),1,{"2018/1/1";"2018/3/30";"2018/4/2";"2018/5/1";"2018/5/8";"2018/7/5";"2018/7/6";"2018/09/28";"2018/11/17";"2018/12/24";"2018/12/25";"2018/12/26"})</f>
        <v>250</v>
      </c>
      <c r="T684" s="167">
        <f t="shared" si="54"/>
        <v>115</v>
      </c>
      <c r="U684" s="167">
        <f t="shared" si="55"/>
        <v>365</v>
      </c>
      <c r="V684" s="313">
        <f t="shared" si="56"/>
        <v>250</v>
      </c>
      <c r="W684" s="169">
        <f t="shared" si="57"/>
        <v>0</v>
      </c>
      <c r="X684" s="170">
        <f t="shared" si="58"/>
        <v>0</v>
      </c>
      <c r="Y684" s="574">
        <v>0</v>
      </c>
    </row>
    <row r="686" spans="1:25" x14ac:dyDescent="0.2">
      <c r="E686" s="289"/>
    </row>
    <row r="687" spans="1:25" x14ac:dyDescent="0.2">
      <c r="J687" s="290"/>
    </row>
  </sheetData>
  <sheetProtection password="CA8C" sheet="1" objects="1" scenarios="1" formatCells="0" formatColumns="0" formatRows="0" autoFilter="0"/>
  <autoFilter ref="A5:X684"/>
  <mergeCells count="24">
    <mergeCell ref="F2:F3"/>
    <mergeCell ref="A2:A3"/>
    <mergeCell ref="B2:B3"/>
    <mergeCell ref="C2:C3"/>
    <mergeCell ref="D2:D3"/>
    <mergeCell ref="E2:E3"/>
    <mergeCell ref="S2:S3"/>
    <mergeCell ref="G2:G3"/>
    <mergeCell ref="H2:H3"/>
    <mergeCell ref="I2:I3"/>
    <mergeCell ref="J2:K2"/>
    <mergeCell ref="L2:L3"/>
    <mergeCell ref="M2:M3"/>
    <mergeCell ref="N2:N3"/>
    <mergeCell ref="O2:O3"/>
    <mergeCell ref="P2:P3"/>
    <mergeCell ref="Q2:Q3"/>
    <mergeCell ref="R2:R3"/>
    <mergeCell ref="Y2:Y3"/>
    <mergeCell ref="T2:T3"/>
    <mergeCell ref="U2:U3"/>
    <mergeCell ref="V2:V3"/>
    <mergeCell ref="W2:W3"/>
    <mergeCell ref="X2:X3"/>
  </mergeCells>
  <conditionalFormatting sqref="W2:X2">
    <cfRule type="cellIs" dxfId="7" priority="2" stopIfTrue="1" operator="equal">
      <formula>0</formula>
    </cfRule>
  </conditionalFormatting>
  <conditionalFormatting sqref="Y2">
    <cfRule type="cellIs" dxfId="6" priority="1" stopIfTrue="1" operator="equal">
      <formula>0</formula>
    </cfRule>
  </conditionalFormatting>
  <dataValidations count="1">
    <dataValidation type="list" allowBlank="1" showInputMessage="1" showErrorMessage="1" sqref="C7:C684">
      <formula1>HS0</formula1>
    </dataValidation>
  </dataValidation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5</vt:i4>
      </vt:variant>
    </vt:vector>
  </HeadingPairs>
  <TitlesOfParts>
    <vt:vector size="18" baseType="lpstr">
      <vt:lpstr>15Příloha_1_Rekapitulace</vt:lpstr>
      <vt:lpstr>8Příloha_2_ceník_pravid_úklid</vt:lpstr>
      <vt:lpstr>9Příloha3_ceník_mimořádný_úklid</vt:lpstr>
      <vt:lpstr>Příloha5_1_ŘEDITELSTVÍ_VRÁTNICE</vt:lpstr>
      <vt:lpstr>Příloha5_2_KOŽNÍ</vt:lpstr>
      <vt:lpstr>Příloha5_3_SPRÁVNÍ BUDOVA</vt:lpstr>
      <vt:lpstr>Příloha5_4_IDG</vt:lpstr>
      <vt:lpstr>Příloha5_5_INTERNA</vt:lpstr>
      <vt:lpstr>Příloha5_6_MONOBLOK</vt:lpstr>
      <vt:lpstr>Příloha5_7_PEDIATRIE</vt:lpstr>
      <vt:lpstr>Příloha5_8_NEUROLOGIE</vt:lpstr>
      <vt:lpstr>Příloha5_9_Lékárna</vt:lpstr>
      <vt:lpstr>Seznam HS - nemaš</vt:lpstr>
      <vt:lpstr>Příloha5_1_ŘEDITELSTVÍ_VRÁTNICE!Částbudovy_provozu</vt:lpstr>
      <vt:lpstr>HS</vt:lpstr>
      <vt:lpstr>HS0</vt:lpstr>
      <vt:lpstr>Příloha5_5_INTERNA!Názvy_tisku</vt:lpstr>
      <vt:lpstr>Příloha5_5_INTERNA!Oblast_tisku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Andrle</dc:creator>
  <cp:lastModifiedBy>Karel Kulhavý</cp:lastModifiedBy>
  <cp:lastPrinted>2018-09-07T19:25:01Z</cp:lastPrinted>
  <dcterms:created xsi:type="dcterms:W3CDTF">2016-03-15T11:04:12Z</dcterms:created>
  <dcterms:modified xsi:type="dcterms:W3CDTF">2018-10-25T09:58:33Z</dcterms:modified>
</cp:coreProperties>
</file>